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Default Extension="png" ContentType="image/png"/>
  <Override PartName="/xl/tables/table15.xml" ContentType="application/vnd.openxmlformats-officedocument.spreadsheetml.table+xml"/>
  <Override PartName="/xl/tables/table1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Default Extension="svg" ContentType="image/svg+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customXml/itemProps1.xml" ContentType="application/vnd.openxmlformats-officedocument.customXmlProperties+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ables/table10.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charts/colors2.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bookViews>
    <workbookView xWindow="-105" yWindow="-105" windowWidth="23250" windowHeight="12720" tabRatio="756" activeTab="1"/>
  </bookViews>
  <sheets>
    <sheet name="START" sheetId="6" r:id="rId1"/>
    <sheet name="PLANNED EXPENSES" sheetId="2" r:id="rId2"/>
    <sheet name="ACTUAL EXPENSES" sheetId="3" r:id="rId3"/>
    <sheet name="EXPENSE VARIANCES" sheetId="4" r:id="rId4"/>
    <sheet name="EXPENSE ANALYSIS" sheetId="5" r:id="rId5"/>
  </sheets>
  <definedNames>
    <definedName name="worksheet_title">'PLANNED EXPENSES'!$K$2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3"/>
  <c r="K2" i="4"/>
  <c r="E3" i="5"/>
  <c r="B2" i="3" l="1"/>
  <c r="B2" i="5" l="1"/>
  <c r="B2" i="4"/>
  <c r="I7" i="3" l="1"/>
  <c r="J7"/>
  <c r="K7"/>
  <c r="L7"/>
  <c r="M7"/>
  <c r="N7"/>
  <c r="C32" i="4"/>
  <c r="D32"/>
  <c r="E32"/>
  <c r="F32"/>
  <c r="G32"/>
  <c r="H32"/>
  <c r="I32"/>
  <c r="J32"/>
  <c r="K32"/>
  <c r="L32"/>
  <c r="M32"/>
  <c r="N32"/>
  <c r="D31"/>
  <c r="E31"/>
  <c r="F31"/>
  <c r="G31"/>
  <c r="H31"/>
  <c r="I31"/>
  <c r="J31"/>
  <c r="K31"/>
  <c r="L31"/>
  <c r="M31"/>
  <c r="N31"/>
  <c r="C31"/>
  <c r="C23"/>
  <c r="D23"/>
  <c r="E23"/>
  <c r="F23"/>
  <c r="G23"/>
  <c r="H23"/>
  <c r="I23"/>
  <c r="J23"/>
  <c r="K23"/>
  <c r="L23"/>
  <c r="M23"/>
  <c r="N23"/>
  <c r="C24"/>
  <c r="D24"/>
  <c r="E24"/>
  <c r="F24"/>
  <c r="G24"/>
  <c r="H24"/>
  <c r="I24"/>
  <c r="J24"/>
  <c r="K24"/>
  <c r="L24"/>
  <c r="M24"/>
  <c r="N24"/>
  <c r="C25"/>
  <c r="D25"/>
  <c r="E25"/>
  <c r="F25"/>
  <c r="G25"/>
  <c r="H25"/>
  <c r="I25"/>
  <c r="J25"/>
  <c r="K25"/>
  <c r="L25"/>
  <c r="M25"/>
  <c r="N25"/>
  <c r="C26"/>
  <c r="D26"/>
  <c r="E26"/>
  <c r="F26"/>
  <c r="G26"/>
  <c r="H26"/>
  <c r="I26"/>
  <c r="J26"/>
  <c r="K26"/>
  <c r="L26"/>
  <c r="M26"/>
  <c r="N26"/>
  <c r="C27"/>
  <c r="D27"/>
  <c r="E27"/>
  <c r="F27"/>
  <c r="G27"/>
  <c r="H27"/>
  <c r="I27"/>
  <c r="J27"/>
  <c r="K27"/>
  <c r="L27"/>
  <c r="M27"/>
  <c r="N27"/>
  <c r="D22"/>
  <c r="E22"/>
  <c r="F22"/>
  <c r="G22"/>
  <c r="H22"/>
  <c r="I22"/>
  <c r="J22"/>
  <c r="K22"/>
  <c r="L22"/>
  <c r="M22"/>
  <c r="N22"/>
  <c r="C22"/>
  <c r="D6"/>
  <c r="E6"/>
  <c r="F6"/>
  <c r="G6"/>
  <c r="H6"/>
  <c r="I6"/>
  <c r="J6"/>
  <c r="K6"/>
  <c r="L6"/>
  <c r="M6"/>
  <c r="N6"/>
  <c r="C6"/>
  <c r="C12"/>
  <c r="D12"/>
  <c r="E12"/>
  <c r="F12"/>
  <c r="G12"/>
  <c r="H12"/>
  <c r="I12"/>
  <c r="J12"/>
  <c r="K12"/>
  <c r="L12"/>
  <c r="M12"/>
  <c r="N12"/>
  <c r="C13"/>
  <c r="D13"/>
  <c r="E13"/>
  <c r="F13"/>
  <c r="G13"/>
  <c r="H13"/>
  <c r="I13"/>
  <c r="J13"/>
  <c r="K13"/>
  <c r="L13"/>
  <c r="M13"/>
  <c r="N13"/>
  <c r="C14"/>
  <c r="D14"/>
  <c r="E14"/>
  <c r="F14"/>
  <c r="G14"/>
  <c r="H14"/>
  <c r="I14"/>
  <c r="J14"/>
  <c r="K14"/>
  <c r="L14"/>
  <c r="M14"/>
  <c r="N14"/>
  <c r="C15"/>
  <c r="D15"/>
  <c r="E15"/>
  <c r="F15"/>
  <c r="G15"/>
  <c r="H15"/>
  <c r="I15"/>
  <c r="J15"/>
  <c r="K15"/>
  <c r="L15"/>
  <c r="M15"/>
  <c r="N15"/>
  <c r="C16"/>
  <c r="D16"/>
  <c r="E16"/>
  <c r="F16"/>
  <c r="G16"/>
  <c r="H16"/>
  <c r="I16"/>
  <c r="J16"/>
  <c r="K16"/>
  <c r="L16"/>
  <c r="M16"/>
  <c r="N16"/>
  <c r="C17"/>
  <c r="D17"/>
  <c r="E17"/>
  <c r="F17"/>
  <c r="G17"/>
  <c r="H17"/>
  <c r="I17"/>
  <c r="J17"/>
  <c r="K17"/>
  <c r="L17"/>
  <c r="M17"/>
  <c r="N17"/>
  <c r="C18"/>
  <c r="D18"/>
  <c r="E18"/>
  <c r="F18"/>
  <c r="G18"/>
  <c r="H18"/>
  <c r="I18"/>
  <c r="J18"/>
  <c r="K18"/>
  <c r="L18"/>
  <c r="M18"/>
  <c r="N18"/>
  <c r="D11"/>
  <c r="E11"/>
  <c r="F11"/>
  <c r="G11"/>
  <c r="H11"/>
  <c r="I11"/>
  <c r="J11"/>
  <c r="K11"/>
  <c r="L11"/>
  <c r="M11"/>
  <c r="N11"/>
  <c r="C11"/>
  <c r="D19" i="3"/>
  <c r="E19"/>
  <c r="F19"/>
  <c r="G19"/>
  <c r="H19"/>
  <c r="I19"/>
  <c r="J19"/>
  <c r="K19"/>
  <c r="L19"/>
  <c r="M19"/>
  <c r="N19"/>
  <c r="D28"/>
  <c r="E28"/>
  <c r="F28"/>
  <c r="G28"/>
  <c r="H28"/>
  <c r="I28"/>
  <c r="J28"/>
  <c r="K28"/>
  <c r="L28"/>
  <c r="M28"/>
  <c r="N28"/>
  <c r="D33"/>
  <c r="E33"/>
  <c r="F33"/>
  <c r="G33"/>
  <c r="H33"/>
  <c r="I33"/>
  <c r="J33"/>
  <c r="K33"/>
  <c r="L33"/>
  <c r="M33"/>
  <c r="N33"/>
  <c r="C33"/>
  <c r="C28"/>
  <c r="C19"/>
  <c r="D33" i="2"/>
  <c r="E33"/>
  <c r="F33"/>
  <c r="G33"/>
  <c r="H33"/>
  <c r="I33"/>
  <c r="J33"/>
  <c r="K33"/>
  <c r="L33"/>
  <c r="M33"/>
  <c r="N33"/>
  <c r="C33"/>
  <c r="D28"/>
  <c r="E28"/>
  <c r="F28"/>
  <c r="G28"/>
  <c r="H28"/>
  <c r="I28"/>
  <c r="J28"/>
  <c r="K28"/>
  <c r="L28"/>
  <c r="M28"/>
  <c r="N28"/>
  <c r="C28"/>
  <c r="D19"/>
  <c r="E19"/>
  <c r="F19"/>
  <c r="G19"/>
  <c r="H19"/>
  <c r="I19"/>
  <c r="J19"/>
  <c r="K19"/>
  <c r="L19"/>
  <c r="M19"/>
  <c r="N19"/>
  <c r="C19"/>
  <c r="O22" i="4" l="1"/>
  <c r="O24"/>
  <c r="O6"/>
  <c r="O23"/>
  <c r="O32"/>
  <c r="O27"/>
  <c r="O26"/>
  <c r="O25"/>
  <c r="O31"/>
  <c r="O17"/>
  <c r="O16"/>
  <c r="O15"/>
  <c r="O14"/>
  <c r="O12"/>
  <c r="O18"/>
  <c r="O13"/>
  <c r="O11"/>
  <c r="B10" i="5"/>
  <c r="B9"/>
  <c r="B8"/>
  <c r="B7"/>
  <c r="N33" i="4"/>
  <c r="M33"/>
  <c r="L33"/>
  <c r="K33"/>
  <c r="J33"/>
  <c r="I33"/>
  <c r="H33"/>
  <c r="G33"/>
  <c r="F33"/>
  <c r="E33"/>
  <c r="D33"/>
  <c r="C33"/>
  <c r="N28"/>
  <c r="M28"/>
  <c r="L28"/>
  <c r="K28"/>
  <c r="J28"/>
  <c r="I28"/>
  <c r="H28"/>
  <c r="G28"/>
  <c r="F28"/>
  <c r="E28"/>
  <c r="D28"/>
  <c r="C28"/>
  <c r="N19"/>
  <c r="M19"/>
  <c r="L19"/>
  <c r="K19"/>
  <c r="J19"/>
  <c r="I19"/>
  <c r="H19"/>
  <c r="G19"/>
  <c r="F19"/>
  <c r="E19"/>
  <c r="D19"/>
  <c r="C19"/>
  <c r="O32" i="3"/>
  <c r="O31"/>
  <c r="O27"/>
  <c r="O26"/>
  <c r="O25"/>
  <c r="O24"/>
  <c r="O23"/>
  <c r="O22"/>
  <c r="O18"/>
  <c r="O17"/>
  <c r="O16"/>
  <c r="O15"/>
  <c r="O14"/>
  <c r="O13"/>
  <c r="O12"/>
  <c r="O11"/>
  <c r="N8"/>
  <c r="N36" s="1"/>
  <c r="M8"/>
  <c r="M36" s="1"/>
  <c r="L8"/>
  <c r="L36" s="1"/>
  <c r="K8"/>
  <c r="K36" s="1"/>
  <c r="J8"/>
  <c r="J36" s="1"/>
  <c r="I8"/>
  <c r="I36" s="1"/>
  <c r="H7"/>
  <c r="H8" s="1"/>
  <c r="H36" s="1"/>
  <c r="G7"/>
  <c r="G8" s="1"/>
  <c r="G36" s="1"/>
  <c r="F7"/>
  <c r="F8" s="1"/>
  <c r="F36" s="1"/>
  <c r="E7"/>
  <c r="E8" s="1"/>
  <c r="E36" s="1"/>
  <c r="D7"/>
  <c r="D8" s="1"/>
  <c r="D36" s="1"/>
  <c r="C7"/>
  <c r="C8" s="1"/>
  <c r="C36" s="1"/>
  <c r="O6"/>
  <c r="O32" i="2"/>
  <c r="O31"/>
  <c r="O33" s="1"/>
  <c r="O27"/>
  <c r="O26"/>
  <c r="O25"/>
  <c r="O24"/>
  <c r="O23"/>
  <c r="O22"/>
  <c r="O18"/>
  <c r="O17"/>
  <c r="O16"/>
  <c r="O15"/>
  <c r="O14"/>
  <c r="O13"/>
  <c r="O12"/>
  <c r="O11"/>
  <c r="N7"/>
  <c r="M7"/>
  <c r="L7"/>
  <c r="K7"/>
  <c r="J7"/>
  <c r="I7"/>
  <c r="H7"/>
  <c r="G7"/>
  <c r="F7"/>
  <c r="E7"/>
  <c r="D7"/>
  <c r="C7"/>
  <c r="O6"/>
  <c r="J8" l="1"/>
  <c r="J36" s="1"/>
  <c r="J7" i="4"/>
  <c r="J8" s="1"/>
  <c r="J36" s="1"/>
  <c r="L8" i="2"/>
  <c r="L36" s="1"/>
  <c r="L7" i="4"/>
  <c r="L8" s="1"/>
  <c r="L36" s="1"/>
  <c r="G8" i="2"/>
  <c r="G36" s="1"/>
  <c r="G7" i="4"/>
  <c r="G8" s="1"/>
  <c r="G36" s="1"/>
  <c r="H8" i="2"/>
  <c r="H36" s="1"/>
  <c r="H7" i="4"/>
  <c r="H8" s="1"/>
  <c r="H36" s="1"/>
  <c r="N8" i="2"/>
  <c r="N36" s="1"/>
  <c r="N7" i="4"/>
  <c r="N8" s="1"/>
  <c r="N36" s="1"/>
  <c r="D8" i="2"/>
  <c r="D36" s="1"/>
  <c r="D7" i="4"/>
  <c r="D8" s="1"/>
  <c r="D36" s="1"/>
  <c r="E7"/>
  <c r="E8" s="1"/>
  <c r="E36" s="1"/>
  <c r="E8" i="2"/>
  <c r="E36" s="1"/>
  <c r="K8"/>
  <c r="K36" s="1"/>
  <c r="K7" i="4"/>
  <c r="K8" s="1"/>
  <c r="K36" s="1"/>
  <c r="F7"/>
  <c r="F8" s="1"/>
  <c r="F36" s="1"/>
  <c r="F8" i="2"/>
  <c r="F36" s="1"/>
  <c r="M8"/>
  <c r="M36" s="1"/>
  <c r="M7" i="4"/>
  <c r="M8" s="1"/>
  <c r="M36" s="1"/>
  <c r="C7"/>
  <c r="C8" s="1"/>
  <c r="C36" s="1"/>
  <c r="C8" i="2"/>
  <c r="C36" s="1"/>
  <c r="I7" i="4"/>
  <c r="I8" s="1"/>
  <c r="I36" s="1"/>
  <c r="I8" i="2"/>
  <c r="I36" s="1"/>
  <c r="O33" i="3"/>
  <c r="O28"/>
  <c r="D8" i="5" s="1"/>
  <c r="O19" i="3"/>
  <c r="D7" i="5" s="1"/>
  <c r="C9"/>
  <c r="O28" i="2"/>
  <c r="C8" i="5" s="1"/>
  <c r="O19" i="2"/>
  <c r="C7" i="5" s="1"/>
  <c r="O7" i="3"/>
  <c r="O8" s="1"/>
  <c r="D6" i="5" s="1"/>
  <c r="O33" i="4"/>
  <c r="O7" i="2"/>
  <c r="O8" s="1"/>
  <c r="C6" i="5" s="1"/>
  <c r="E37" i="2" l="1"/>
  <c r="D37"/>
  <c r="J37"/>
  <c r="O7" i="4"/>
  <c r="O8" s="1"/>
  <c r="O36" i="2"/>
  <c r="C10" i="5" s="1"/>
  <c r="I37" i="2"/>
  <c r="C37"/>
  <c r="F37"/>
  <c r="E8" i="5"/>
  <c r="F8" s="1"/>
  <c r="D37" i="4"/>
  <c r="J37"/>
  <c r="M37"/>
  <c r="H37"/>
  <c r="N37"/>
  <c r="C37"/>
  <c r="E37"/>
  <c r="K37"/>
  <c r="F37"/>
  <c r="L37"/>
  <c r="G37"/>
  <c r="I37"/>
  <c r="O19"/>
  <c r="O28"/>
  <c r="D9" i="5"/>
  <c r="E9" s="1"/>
  <c r="F9" s="1"/>
  <c r="O36" i="3"/>
  <c r="D10" i="5" s="1"/>
  <c r="K37" i="2"/>
  <c r="G37" i="3"/>
  <c r="M37"/>
  <c r="J37"/>
  <c r="F37"/>
  <c r="H37"/>
  <c r="N37"/>
  <c r="I37"/>
  <c r="C37"/>
  <c r="D37"/>
  <c r="E37"/>
  <c r="K37"/>
  <c r="L37"/>
  <c r="E7" i="5"/>
  <c r="F7" s="1"/>
  <c r="N37" i="2"/>
  <c r="H37"/>
  <c r="M37"/>
  <c r="L37"/>
  <c r="G37"/>
  <c r="E6" i="5"/>
  <c r="F6" s="1"/>
  <c r="O36" i="4" l="1"/>
  <c r="E10" i="5"/>
  <c r="F10" s="1"/>
</calcChain>
</file>

<file path=xl/sharedStrings.xml><?xml version="1.0" encoding="utf-8"?>
<sst xmlns="http://schemas.openxmlformats.org/spreadsheetml/2006/main" count="387" uniqueCount="107">
  <si>
    <t>Detailed Expense Estimates</t>
  </si>
  <si>
    <t>Planned Expenses</t>
  </si>
  <si>
    <t>Jan</t>
  </si>
  <si>
    <t>Feb</t>
  </si>
  <si>
    <t>Mar</t>
  </si>
  <si>
    <t>Apr</t>
  </si>
  <si>
    <t>May</t>
  </si>
  <si>
    <t>Jun</t>
  </si>
  <si>
    <t>Jul</t>
  </si>
  <si>
    <t>Aug</t>
  </si>
  <si>
    <t>Sep</t>
  </si>
  <si>
    <t>Oct</t>
  </si>
  <si>
    <t>Nov</t>
  </si>
  <si>
    <t>Dec</t>
  </si>
  <si>
    <t>YEAR</t>
  </si>
  <si>
    <t>Employee Costs</t>
  </si>
  <si>
    <t>Wages</t>
  </si>
  <si>
    <t>Benefits</t>
  </si>
  <si>
    <t>Subtotal</t>
  </si>
  <si>
    <t>Office Costs</t>
  </si>
  <si>
    <t>Office lease</t>
  </si>
  <si>
    <t>Gas</t>
  </si>
  <si>
    <t>Electric</t>
  </si>
  <si>
    <t>Water</t>
  </si>
  <si>
    <t>Telephone</t>
  </si>
  <si>
    <t>Internet access</t>
  </si>
  <si>
    <t>Office supplies</t>
  </si>
  <si>
    <t>Security</t>
  </si>
  <si>
    <t>Marketing Costs</t>
  </si>
  <si>
    <t>Web site hosting</t>
  </si>
  <si>
    <t>Web site updates</t>
  </si>
  <si>
    <t>Collateral preparation</t>
  </si>
  <si>
    <t>Collateral printing</t>
  </si>
  <si>
    <t>Marketing events</t>
  </si>
  <si>
    <t>Miscellaneous expenses</t>
  </si>
  <si>
    <t>Training/Travel</t>
  </si>
  <si>
    <t>Training classes</t>
  </si>
  <si>
    <t>Training-related travel costs</t>
  </si>
  <si>
    <t>TOTALS</t>
  </si>
  <si>
    <t>Monthly Planned Expenses</t>
  </si>
  <si>
    <t>TOTAL Planned Expenses</t>
  </si>
  <si>
    <t>Actual Expenses</t>
  </si>
  <si>
    <t>Monthly Actual Expenses</t>
  </si>
  <si>
    <t>TOTAL Actual Expenses</t>
  </si>
  <si>
    <t>Expense Variances</t>
  </si>
  <si>
    <t>Expense Category</t>
  </si>
  <si>
    <t>Variance Percentage</t>
  </si>
  <si>
    <t xml:space="preserve"> </t>
  </si>
  <si>
    <t>Shaded cells are calculations.</t>
  </si>
  <si>
    <t>Company Name</t>
  </si>
  <si>
    <t>PLANNED EXPENSES</t>
  </si>
  <si>
    <t>JAN</t>
  </si>
  <si>
    <t>FEB</t>
  </si>
  <si>
    <t>MAR</t>
  </si>
  <si>
    <t>APR</t>
  </si>
  <si>
    <t>MAY</t>
  </si>
  <si>
    <t>JUN</t>
  </si>
  <si>
    <t>JUL</t>
  </si>
  <si>
    <t>AUG</t>
  </si>
  <si>
    <t>SEPT</t>
  </si>
  <si>
    <t>OCT</t>
  </si>
  <si>
    <t>NOV</t>
  </si>
  <si>
    <t>DEC</t>
  </si>
  <si>
    <t>ACTUAL EXPENSES</t>
  </si>
  <si>
    <t>EXPENSE VARIANCES</t>
  </si>
  <si>
    <t>Year</t>
  </si>
  <si>
    <t>Logo placeholder is in this cell.</t>
  </si>
  <si>
    <t>ABOUT THIS TEMPLATE</t>
  </si>
  <si>
    <t>Use this Business Expense Budget workbook to track Planned and Actual Expenses and Variances.</t>
  </si>
  <si>
    <t>Fill in Company Name and add Logo.</t>
  </si>
  <si>
    <t>Enter details in tables in Planned Expenses worksheet and Actual Expenses worksheet.</t>
  </si>
  <si>
    <t>Tables are auto updated in Expense Variances worksheet and charts in Expense Analysis worksheet</t>
  </si>
  <si>
    <t>Note: </t>
  </si>
  <si>
    <t>Additional instructions have been provided in column A in each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</si>
  <si>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</si>
  <si>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Enter Planned Employee Costs, Office Costs, Marketing Costs, and Training or Travel Cost in respective tables in this worksheet. Totals are auto calculated. Helpful instructions on how to use this worksheet are in cells in this column. Arrow down to get started.</t>
  </si>
  <si>
    <t>Enter Company Name in cell at right and Logo in cell N2. Title of this worksheet is in cell K2.</t>
  </si>
  <si>
    <t>Enter Actual Employee Costs, Office Costs, Marketing Costs, and Training or Travel Cost in respective tables in this worksheet. Totals are auto calculated. Helpful instructions on how to use this worksheet are in cells in this column. Arrow down to get started.</t>
  </si>
  <si>
    <t>Company Name is auto updated in cell at right. Title of this worksheet is in cell K2. Enter Logo in cell N2.</t>
  </si>
  <si>
    <t xml:space="preserve">Annual Planned and Actual Expenses, Expense Variances, and Variance Percentage are auto updated for each Expense Category in this worksheet. Helpful instructions on how to use this worksheet are in cells in this column. Arrow down to get started. </t>
  </si>
  <si>
    <t>Pie chart showing planned expenses on various categories is in this cell.</t>
  </si>
  <si>
    <t>Planned Expenses, Actual Expenses, Expense Variance, and Variance Percentage are auto calculated in Analysis table starting in cell at right. Next instruction is in cell A12.</t>
  </si>
  <si>
    <t>Tip: HOW TO USE THIS TEMPLATE
Input data in the white cells on the PLANNED EXPENSES and ACTUAL EXPENSES worksheets, and the EXPENSE VARIANCES and EXPENSE ANALYSIS will be calculated for you.  If you add a row on one sheet, the other sheets need to match.</t>
  </si>
  <si>
    <t>Tip is in cell K3.</t>
  </si>
  <si>
    <t>Planned Expenses label is in cell at right, months in cells C4 through N4, Year label in O4, and How to use this template instructions in cell R4.</t>
  </si>
  <si>
    <t>Enter Employee Costs in Employee Plan table starting in cell at right. Next instruction is in cell A10.</t>
  </si>
  <si>
    <t>Enter Office Costs in Office Plan table starting in cell at right. Next instruction is in cell A21.</t>
  </si>
  <si>
    <t>Enter Marketing Costs in Marketing Plan table starting in cell at right. Next instruction is in cell A30.</t>
  </si>
  <si>
    <t>Totals are auto calculated in Planned Total table starting in cell at right.</t>
  </si>
  <si>
    <t>Enter Training and Travel Costs in Training and Travel Plan table starting in cell at right. Next instruction is in cell A35.</t>
  </si>
  <si>
    <t>Actual Expenses label is in cell at right, months in cells C4 through N4, and Year label in O4.</t>
  </si>
  <si>
    <t>Enter Employee Costs in Employee Actual table starting in cell at right. Next instruction is in cell A10.</t>
  </si>
  <si>
    <t>Enter Office Costs in Office Actual table starting in cell at right. Next instruction is in cell A21.</t>
  </si>
  <si>
    <t>Enter Marketing Costs in Marketing Actual table starting in cell at right. Next instruction is in cell A30.</t>
  </si>
  <si>
    <t>Enter Training or Travel Costs in Training and Travel Actual table starting in cell at right. Next instruction is in cell A35.</t>
  </si>
  <si>
    <t>Total Actual Expenses are auto calculated in Total Actual table starting in cell at right.</t>
  </si>
  <si>
    <t>Expense Variance are auto calculated in this worksheet for Employee Costs, Office Costs, Marketing Costs, and Training or Travel Cost in respective tables in this worksheet. Helpful instructions on how to use this worksheet are in cells in this column. Arrow down to get started.</t>
  </si>
  <si>
    <t>Expense Variances label is in cell at right, months in cells C4 through N4, and Year label in O4.</t>
  </si>
  <si>
    <t>Variance in Employee Costs is auto calculated in Employee Variances table starting in cell at right. Next instruction is in cell A10.</t>
  </si>
  <si>
    <t>Variance in Office Costs is auto calculated in Office Variances table starting in cell at right. Next instruction is in cell A21.</t>
  </si>
  <si>
    <t>Variance in Marketing Costs is auto calculated in Marketing Variances table starting in cell at right. Next instruction is in cell A30.</t>
  </si>
  <si>
    <t>Variance in Training or Travel Costs is auto calculated in Training and Travel Variances table starting in cell at right. Next instruction is in cell A35.</t>
  </si>
  <si>
    <t>Expense Variances are auto calculated in Total Variance table starting in cell at right.</t>
  </si>
  <si>
    <t>Title of this worksheet is in cell E3. Next instruction is in cell A5.</t>
  </si>
  <si>
    <t>Company Name is auto updated in cell at right. Enter Logo in cell F2.</t>
  </si>
  <si>
    <t>Planned Expenses pie chart is in cell at right and Actual Expenses pie chart in cell D12. Next instruction is in cell A14.</t>
  </si>
  <si>
    <t>Chart showing Planned, Actual, and Variance in Monthly Expenses is in cell at right.</t>
  </si>
</sst>
</file>

<file path=xl/styles.xml><?xml version="1.0" encoding="utf-8"?>
<styleSheet xmlns="http://schemas.openxmlformats.org/spreadsheetml/2006/main">
  <numFmts count="2">
    <numFmt numFmtId="164" formatCode="&quot;$&quot;#,##0.00_);[Red]\(&quot;$&quot;#,##0.00\)"/>
    <numFmt numFmtId="165" formatCode="_(&quot;$&quot;* #,##0_);_(&quot;$&quot;* \(#,##0\);_(&quot;$&quot;* &quot;-&quot;??_);_(@_)"/>
  </numFmts>
  <fonts count="40">
    <font>
      <sz val="9"/>
      <color theme="1" tint="0.24994659260841701"/>
      <name val="Microsoft Sans Serif"/>
      <family val="2"/>
      <scheme val="minor"/>
    </font>
    <font>
      <sz val="14"/>
      <color theme="1"/>
      <name val="Microsoft Sans Serif"/>
      <family val="2"/>
      <scheme val="minor"/>
    </font>
    <font>
      <b/>
      <sz val="14"/>
      <color theme="1"/>
      <name val="Microsoft Sans Serif"/>
      <family val="2"/>
      <scheme val="minor"/>
    </font>
    <font>
      <sz val="10"/>
      <color theme="1"/>
      <name val="Microsoft Sans Serif"/>
      <family val="2"/>
      <scheme val="minor"/>
    </font>
    <font>
      <b/>
      <u/>
      <sz val="10"/>
      <color theme="1"/>
      <name val="Microsoft Sans Serif"/>
      <family val="2"/>
      <scheme val="minor"/>
    </font>
    <font>
      <b/>
      <sz val="10"/>
      <color theme="1"/>
      <name val="Microsoft Sans Serif"/>
      <family val="2"/>
      <scheme val="minor"/>
    </font>
    <font>
      <b/>
      <i/>
      <sz val="10"/>
      <color theme="1"/>
      <name val="Microsoft Sans Serif"/>
      <family val="2"/>
      <scheme val="minor"/>
    </font>
    <font>
      <b/>
      <sz val="22"/>
      <color theme="1" tint="0.24994659260841701"/>
      <name val="Franklin Gothic Book"/>
      <family val="2"/>
      <scheme val="major"/>
    </font>
    <font>
      <sz val="11"/>
      <color theme="1" tint="0.24994659260841701"/>
      <name val="Franklin Gothic Book"/>
      <family val="2"/>
      <scheme val="major"/>
    </font>
    <font>
      <b/>
      <sz val="10"/>
      <color theme="2"/>
      <name val="Franklin Gothic Book"/>
      <family val="2"/>
      <scheme val="major"/>
    </font>
    <font>
      <b/>
      <sz val="14"/>
      <color theme="0"/>
      <name val="Franklin Gothic Book"/>
      <family val="2"/>
      <scheme val="major"/>
    </font>
    <font>
      <i/>
      <sz val="11"/>
      <color theme="3" tint="0.79998168889431442"/>
      <name val="Microsoft Sans Serif"/>
      <family val="2"/>
      <scheme val="minor"/>
    </font>
    <font>
      <b/>
      <sz val="36"/>
      <color theme="0"/>
      <name val="Franklin Gothic Book"/>
      <family val="2"/>
      <scheme val="major"/>
    </font>
    <font>
      <sz val="9"/>
      <color theme="1"/>
      <name val="Microsoft Sans Serif"/>
      <family val="2"/>
      <scheme val="minor"/>
    </font>
    <font>
      <b/>
      <sz val="9"/>
      <color theme="1"/>
      <name val="Microsoft Sans Serif"/>
      <family val="2"/>
      <scheme val="minor"/>
    </font>
    <font>
      <b/>
      <sz val="10"/>
      <color theme="0"/>
      <name val="Microsoft Sans Serif"/>
      <family val="2"/>
      <scheme val="minor"/>
    </font>
    <font>
      <b/>
      <sz val="16"/>
      <color theme="0"/>
      <name val="Franklin Gothic Book"/>
      <family val="2"/>
      <scheme val="major"/>
    </font>
    <font>
      <sz val="10"/>
      <color theme="1" tint="0.24994659260841701"/>
      <name val="Microsoft Sans Serif"/>
      <family val="2"/>
      <scheme val="minor"/>
    </font>
    <font>
      <b/>
      <sz val="10"/>
      <color theme="1" tint="0.24994659260841701"/>
      <name val="Microsoft Sans Serif"/>
      <family val="2"/>
      <scheme val="minor"/>
    </font>
    <font>
      <sz val="9"/>
      <color theme="6" tint="0.39997558519241921"/>
      <name val="Microsoft Sans Serif"/>
      <family val="2"/>
      <scheme val="minor"/>
    </font>
    <font>
      <b/>
      <sz val="14"/>
      <color theme="2"/>
      <name val="Franklin Gothic Book"/>
      <family val="2"/>
      <scheme val="major"/>
    </font>
    <font>
      <sz val="14"/>
      <color theme="3"/>
      <name val="Microsoft Sans Serif"/>
      <family val="2"/>
      <scheme val="minor"/>
    </font>
    <font>
      <b/>
      <sz val="13"/>
      <color theme="3"/>
      <name val="Franklin Gothic Book"/>
      <family val="2"/>
      <scheme val="major"/>
    </font>
    <font>
      <b/>
      <sz val="14"/>
      <color theme="0"/>
      <name val="Microsoft Sans Serif"/>
      <family val="2"/>
      <scheme val="minor"/>
    </font>
    <font>
      <sz val="9"/>
      <name val="Microsoft Sans Serif"/>
      <family val="2"/>
      <scheme val="minor"/>
    </font>
    <font>
      <b/>
      <sz val="9"/>
      <name val="Microsoft Sans Serif"/>
      <family val="2"/>
      <scheme val="minor"/>
    </font>
    <font>
      <b/>
      <sz val="10"/>
      <name val="Microsoft Sans Serif"/>
      <family val="2"/>
      <scheme val="minor"/>
    </font>
    <font>
      <b/>
      <sz val="10"/>
      <color theme="3" tint="-0.499984740745262"/>
      <name val="Franklin Gothic Book"/>
      <family val="2"/>
      <scheme val="major"/>
    </font>
    <font>
      <b/>
      <sz val="14"/>
      <color theme="3"/>
      <name val="Microsoft Sans Serif"/>
      <family val="2"/>
      <scheme val="minor"/>
    </font>
    <font>
      <b/>
      <sz val="14"/>
      <color theme="3" tint="-0.499984740745262"/>
      <name val="Franklin Gothic Book"/>
      <family val="2"/>
      <scheme val="major"/>
    </font>
    <font>
      <sz val="10"/>
      <color theme="5" tint="0.79998168889431442"/>
      <name val="Microsoft Sans Serif"/>
      <family val="2"/>
      <scheme val="minor"/>
    </font>
    <font>
      <b/>
      <sz val="16"/>
      <color theme="0"/>
      <name val="Arial"/>
      <family val="2"/>
    </font>
    <font>
      <sz val="14"/>
      <color theme="3" tint="-0.249977111117893"/>
      <name val="Microsoft Sans Serif"/>
      <family val="2"/>
      <scheme val="minor"/>
    </font>
    <font>
      <sz val="14"/>
      <color theme="6" tint="0.39997558519241921"/>
      <name val="Microsoft Sans Serif"/>
      <family val="2"/>
      <scheme val="minor"/>
    </font>
    <font>
      <sz val="11"/>
      <color theme="6" tint="0.39997558519241921"/>
      <name val="Calibri"/>
      <family val="2"/>
    </font>
    <font>
      <sz val="11"/>
      <color theme="1" tint="4.9989318521683403E-2"/>
      <name val="Calibri"/>
      <family val="2"/>
    </font>
    <font>
      <b/>
      <sz val="11"/>
      <color theme="1" tint="4.9989318521683403E-2"/>
      <name val="Calibri"/>
      <family val="2"/>
    </font>
    <font>
      <i/>
      <sz val="11"/>
      <color theme="0"/>
      <name val="Microsoft Sans Serif"/>
      <family val="2"/>
      <scheme val="minor"/>
    </font>
    <font>
      <b/>
      <sz val="16"/>
      <color theme="3"/>
      <name val="Franklin Gothic Book"/>
      <family val="2"/>
      <scheme val="major"/>
    </font>
    <font>
      <sz val="14"/>
      <color theme="0"/>
      <name val="Microsoft Sans Serif"/>
      <family val="2"/>
      <scheme val="minor"/>
    </font>
  </fonts>
  <fills count="14">
    <fill>
      <patternFill patternType="none"/>
    </fill>
    <fill>
      <patternFill patternType="gray125"/>
    </fill>
    <fill>
      <patternFill patternType="solid">
        <fgColor theme="5" tint="-0.499984740745262"/>
        <bgColor indexed="64"/>
      </patternFill>
    </fill>
    <fill>
      <patternFill patternType="solid">
        <fgColor theme="3" tint="0.89996032593768116"/>
        <bgColor indexed="64"/>
      </patternFill>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33">
    <border>
      <left/>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6" tint="0.39997558519241921"/>
      </left>
      <right style="medium">
        <color theme="6" tint="0.39997558519241921"/>
      </right>
      <top style="medium">
        <color theme="6" tint="0.39997558519241921"/>
      </top>
      <bottom style="medium">
        <color theme="6" tint="0.39997558519241921"/>
      </bottom>
      <diagonal/>
    </border>
    <border>
      <left/>
      <right/>
      <top/>
      <bottom style="medium">
        <color theme="6" tint="0.39997558519241921"/>
      </bottom>
      <diagonal/>
    </border>
    <border>
      <left/>
      <right/>
      <top style="medium">
        <color theme="6" tint="0.39997558519241921"/>
      </top>
      <bottom/>
      <diagonal/>
    </border>
    <border>
      <left style="medium">
        <color theme="6" tint="0.39997558519241921"/>
      </left>
      <right style="medium">
        <color theme="6" tint="0.39997558519241921"/>
      </right>
      <top style="medium">
        <color theme="6" tint="0.39997558519241921"/>
      </top>
      <bottom/>
      <diagonal/>
    </border>
    <border>
      <left/>
      <right style="medium">
        <color theme="6" tint="0.39997558519241921"/>
      </right>
      <top/>
      <bottom/>
      <diagonal/>
    </border>
    <border>
      <left/>
      <right style="medium">
        <color theme="6" tint="0.39997558519241921"/>
      </right>
      <top style="medium">
        <color theme="6" tint="0.39997558519241921"/>
      </top>
      <bottom/>
      <diagonal/>
    </border>
    <border>
      <left style="medium">
        <color theme="6" tint="0.39997558519241921"/>
      </left>
      <right style="medium">
        <color theme="6" tint="0.39997558519241921"/>
      </right>
      <top/>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
      <left/>
      <right/>
      <top style="medium">
        <color theme="6" tint="0.39994506668294322"/>
      </top>
      <bottom/>
      <diagonal/>
    </border>
    <border>
      <left/>
      <right style="medium">
        <color theme="6" tint="0.39991454817346722"/>
      </right>
      <top style="medium">
        <color theme="6" tint="0.39994506668294322"/>
      </top>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right style="medium">
        <color theme="6" tint="0.39994506668294322"/>
      </right>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4506668294322"/>
      </left>
      <right/>
      <top/>
      <bottom style="medium">
        <color theme="6" tint="0.39994506668294322"/>
      </bottom>
      <diagonal/>
    </border>
    <border>
      <left/>
      <right style="medium">
        <color theme="6" tint="0.39994506668294322"/>
      </right>
      <top style="medium">
        <color theme="6" tint="0.39994506668294322"/>
      </top>
      <bottom style="medium">
        <color theme="6" tint="0.39994506668294322"/>
      </bottom>
      <diagonal/>
    </border>
    <border>
      <left style="medium">
        <color theme="6" tint="0.39994506668294322"/>
      </left>
      <right/>
      <top style="medium">
        <color theme="6" tint="0.39994506668294322"/>
      </top>
      <bottom style="medium">
        <color theme="6" tint="0.39994506668294322"/>
      </bottom>
      <diagonal/>
    </border>
    <border>
      <left/>
      <right style="medium">
        <color theme="6" tint="0.39994506668294322"/>
      </right>
      <top style="medium">
        <color theme="6" tint="0.39994506668294322"/>
      </top>
      <bottom/>
      <diagonal/>
    </border>
    <border>
      <left style="medium">
        <color theme="6" tint="0.39994506668294322"/>
      </left>
      <right style="medium">
        <color theme="6" tint="0.39994506668294322"/>
      </right>
      <top style="medium">
        <color theme="6" tint="0.39994506668294322"/>
      </top>
      <bottom/>
      <diagonal/>
    </border>
    <border>
      <left style="medium">
        <color theme="6" tint="0.39994506668294322"/>
      </left>
      <right/>
      <top style="medium">
        <color theme="6" tint="0.39994506668294322"/>
      </top>
      <bottom/>
      <diagonal/>
    </border>
    <border>
      <left/>
      <right style="medium">
        <color theme="6" tint="0.39994506668294322"/>
      </right>
      <top style="medium">
        <color theme="6" tint="0.39991454817346722"/>
      </top>
      <bottom style="medium">
        <color theme="6" tint="0.39994506668294322"/>
      </bottom>
      <diagonal/>
    </border>
    <border>
      <left style="medium">
        <color theme="6" tint="0.39994506668294322"/>
      </left>
      <right style="medium">
        <color theme="6" tint="0.39994506668294322"/>
      </right>
      <top style="medium">
        <color theme="6" tint="0.39991454817346722"/>
      </top>
      <bottom style="medium">
        <color theme="6" tint="0.39994506668294322"/>
      </bottom>
      <diagonal/>
    </border>
    <border>
      <left style="medium">
        <color theme="6" tint="0.39994506668294322"/>
      </left>
      <right/>
      <top style="medium">
        <color theme="6" tint="0.39991454817346722"/>
      </top>
      <bottom style="medium">
        <color theme="6" tint="0.39994506668294322"/>
      </bottom>
      <diagonal/>
    </border>
    <border>
      <left style="medium">
        <color theme="6" tint="0.39988402966399123"/>
      </left>
      <right/>
      <top style="medium">
        <color theme="6" tint="0.39991454817346722"/>
      </top>
      <bottom style="medium">
        <color theme="6" tint="0.39994506668294322"/>
      </bottom>
      <diagonal/>
    </border>
    <border>
      <left style="medium">
        <color theme="6" tint="0.39988402966399123"/>
      </left>
      <right/>
      <top style="medium">
        <color theme="6" tint="0.39994506668294322"/>
      </top>
      <bottom style="medium">
        <color theme="6" tint="0.39994506668294322"/>
      </bottom>
      <diagonal/>
    </border>
    <border>
      <left/>
      <right style="medium">
        <color theme="6" tint="0.39994506668294322"/>
      </right>
      <top style="medium">
        <color theme="6" tint="0.39994506668294322"/>
      </top>
      <bottom style="medium">
        <color theme="6" tint="0.39985351115451523"/>
      </bottom>
      <diagonal/>
    </border>
    <border>
      <left style="medium">
        <color theme="6" tint="0.39994506668294322"/>
      </left>
      <right style="medium">
        <color theme="6" tint="0.39994506668294322"/>
      </right>
      <top style="medium">
        <color theme="6" tint="0.39994506668294322"/>
      </top>
      <bottom style="medium">
        <color theme="6" tint="0.39985351115451523"/>
      </bottom>
      <diagonal/>
    </border>
    <border>
      <left style="medium">
        <color theme="6" tint="0.39994506668294322"/>
      </left>
      <right/>
      <top style="medium">
        <color theme="6" tint="0.39994506668294322"/>
      </top>
      <bottom style="medium">
        <color theme="6" tint="0.39985351115451523"/>
      </bottom>
      <diagonal/>
    </border>
    <border>
      <left style="medium">
        <color theme="6" tint="0.39988402966399123"/>
      </left>
      <right style="medium">
        <color theme="6" tint="0.39985351115451523"/>
      </right>
      <top style="medium">
        <color theme="6" tint="0.39994506668294322"/>
      </top>
      <bottom style="medium">
        <color theme="6" tint="0.39985351115451523"/>
      </bottom>
      <diagonal/>
    </border>
    <border>
      <left/>
      <right style="medium">
        <color theme="6" tint="0.39997558519241921"/>
      </right>
      <top style="medium">
        <color theme="6" tint="0.39997558519241921"/>
      </top>
      <bottom style="medium">
        <color theme="6" tint="0.39997558519241921"/>
      </bottom>
      <diagonal/>
    </border>
    <border>
      <left/>
      <right style="medium">
        <color theme="6" tint="0.39994506668294322"/>
      </right>
      <top/>
      <bottom style="medium">
        <color theme="6" tint="0.39997558519241921"/>
      </bottom>
      <diagonal/>
    </border>
  </borders>
  <cellStyleXfs count="6">
    <xf numFmtId="0" fontId="0" fillId="10" borderId="0"/>
    <xf numFmtId="0" fontId="7" fillId="0" borderId="0" applyNumberFormat="0" applyFill="0" applyProtection="0">
      <alignment vertical="center"/>
    </xf>
    <xf numFmtId="0" fontId="16" fillId="4" borderId="0" applyNumberFormat="0" applyProtection="0">
      <alignment vertical="center"/>
    </xf>
    <xf numFmtId="0" fontId="9" fillId="2" borderId="0" applyNumberFormat="0" applyProtection="0">
      <alignment vertical="center"/>
    </xf>
    <xf numFmtId="0" fontId="8" fillId="3" borderId="1" applyNumberFormat="0" applyProtection="0">
      <alignment horizontal="left" vertical="center" indent="1"/>
    </xf>
    <xf numFmtId="0" fontId="11" fillId="0" borderId="0" applyNumberFormat="0" applyFill="0" applyBorder="0" applyAlignment="0" applyProtection="0"/>
  </cellStyleXfs>
  <cellXfs count="135">
    <xf numFmtId="0" fontId="0" fillId="10" borderId="0" xfId="0"/>
    <xf numFmtId="0" fontId="1" fillId="10" borderId="0" xfId="0" applyFont="1"/>
    <xf numFmtId="0" fontId="3" fillId="10" borderId="0" xfId="0" applyFont="1"/>
    <xf numFmtId="37" fontId="3" fillId="10" borderId="0" xfId="0" applyNumberFormat="1" applyFont="1" applyAlignment="1">
      <alignment horizontal="right"/>
    </xf>
    <xf numFmtId="37" fontId="5" fillId="10" borderId="0" xfId="0" applyNumberFormat="1" applyFont="1" applyAlignment="1">
      <alignment horizontal="right"/>
    </xf>
    <xf numFmtId="37" fontId="6" fillId="10" borderId="0" xfId="0" applyNumberFormat="1" applyFont="1" applyAlignment="1">
      <alignment horizontal="right"/>
    </xf>
    <xf numFmtId="164" fontId="0" fillId="10" borderId="0" xfId="0" applyNumberFormat="1" applyAlignment="1">
      <alignment horizontal="right"/>
    </xf>
    <xf numFmtId="9" fontId="0" fillId="10" borderId="0" xfId="0" applyNumberFormat="1" applyAlignment="1">
      <alignment horizontal="right"/>
    </xf>
    <xf numFmtId="0" fontId="1" fillId="4" borderId="0" xfId="0" applyFont="1" applyFill="1" applyAlignment="1">
      <alignment horizontal="left" vertical="top" indent="1"/>
    </xf>
    <xf numFmtId="0" fontId="2" fillId="4" borderId="0" xfId="0" applyFont="1" applyFill="1" applyAlignment="1">
      <alignment horizontal="left" vertical="top" indent="1"/>
    </xf>
    <xf numFmtId="0" fontId="4" fillId="4" borderId="0" xfId="0" applyFont="1" applyFill="1" applyAlignment="1">
      <alignment horizontal="left" vertical="top" indent="1"/>
    </xf>
    <xf numFmtId="0" fontId="1" fillId="8" borderId="0" xfId="0" applyFont="1" applyFill="1" applyAlignment="1">
      <alignment horizontal="left" vertical="top" indent="1"/>
    </xf>
    <xf numFmtId="165" fontId="2" fillId="8" borderId="0" xfId="0" applyNumberFormat="1" applyFont="1" applyFill="1" applyAlignment="1">
      <alignment horizontal="left" vertical="top" indent="1"/>
    </xf>
    <xf numFmtId="165" fontId="4" fillId="8" borderId="0" xfId="0" applyNumberFormat="1" applyFont="1" applyFill="1" applyAlignment="1">
      <alignment horizontal="left" vertical="top" indent="1"/>
    </xf>
    <xf numFmtId="0" fontId="21" fillId="10" borderId="0" xfId="0" applyFont="1"/>
    <xf numFmtId="164" fontId="14" fillId="11" borderId="5" xfId="0" applyNumberFormat="1" applyFont="1" applyFill="1" applyBorder="1" applyAlignment="1">
      <alignment horizontal="right" vertical="center"/>
    </xf>
    <xf numFmtId="164" fontId="14" fillId="11" borderId="2" xfId="0" applyNumberFormat="1" applyFont="1" applyFill="1" applyBorder="1" applyAlignment="1">
      <alignment horizontal="right" vertical="center"/>
    </xf>
    <xf numFmtId="0" fontId="20" fillId="9" borderId="0" xfId="3" applyFont="1" applyFill="1" applyAlignment="1">
      <alignment horizontal="left" vertical="center" indent="1"/>
    </xf>
    <xf numFmtId="0" fontId="15" fillId="4" borderId="5" xfId="0" applyFont="1" applyFill="1" applyBorder="1" applyAlignment="1">
      <alignment horizontal="left" vertical="center" indent="1"/>
    </xf>
    <xf numFmtId="0" fontId="3" fillId="10" borderId="4" xfId="0" applyFont="1" applyBorder="1"/>
    <xf numFmtId="164" fontId="14" fillId="11" borderId="2" xfId="0" applyNumberFormat="1" applyFont="1" applyFill="1" applyBorder="1" applyAlignment="1">
      <alignment horizontal="right"/>
    </xf>
    <xf numFmtId="164" fontId="25" fillId="11" borderId="2" xfId="0" applyNumberFormat="1" applyFont="1" applyFill="1" applyBorder="1" applyAlignment="1">
      <alignment horizontal="right"/>
    </xf>
    <xf numFmtId="0" fontId="16" fillId="4" borderId="0" xfId="2" applyAlignment="1"/>
    <xf numFmtId="0" fontId="9" fillId="6" borderId="0" xfId="3" applyFill="1" applyAlignment="1">
      <alignment horizontal="left" vertical="center" indent="2"/>
    </xf>
    <xf numFmtId="0" fontId="9" fillId="5" borderId="0" xfId="3" applyFill="1" applyAlignment="1">
      <alignment horizontal="left" vertical="center" indent="2"/>
    </xf>
    <xf numFmtId="0" fontId="9" fillId="7" borderId="0" xfId="3" applyFill="1" applyAlignment="1">
      <alignment horizontal="left" vertical="center" indent="2"/>
    </xf>
    <xf numFmtId="0" fontId="9" fillId="4" borderId="0" xfId="3" applyFill="1" applyAlignment="1">
      <alignment horizontal="left" vertical="center" indent="2"/>
    </xf>
    <xf numFmtId="0" fontId="0" fillId="11" borderId="2" xfId="0" applyFill="1" applyBorder="1" applyAlignment="1">
      <alignment horizontal="left" vertical="center" indent="2"/>
    </xf>
    <xf numFmtId="164" fontId="0" fillId="11" borderId="2" xfId="0" applyNumberFormat="1" applyFill="1" applyBorder="1" applyAlignment="1">
      <alignment horizontal="right" vertical="center" indent="2"/>
    </xf>
    <xf numFmtId="9" fontId="0" fillId="11" borderId="2" xfId="0" applyNumberFormat="1" applyFill="1" applyBorder="1" applyAlignment="1">
      <alignment horizontal="right" vertical="center" indent="2"/>
    </xf>
    <xf numFmtId="0" fontId="22" fillId="12" borderId="0" xfId="3" applyFont="1" applyFill="1" applyAlignment="1">
      <alignment horizontal="left"/>
    </xf>
    <xf numFmtId="0" fontId="22" fillId="12" borderId="0" xfId="3" applyFont="1" applyFill="1" applyAlignment="1">
      <alignment horizontal="center"/>
    </xf>
    <xf numFmtId="165" fontId="22" fillId="12" borderId="0" xfId="3" applyNumberFormat="1" applyFont="1" applyFill="1" applyAlignment="1">
      <alignment horizontal="center"/>
    </xf>
    <xf numFmtId="0" fontId="10" fillId="9" borderId="3" xfId="3" applyFont="1" applyFill="1" applyBorder="1" applyAlignment="1">
      <alignment horizontal="left" vertical="center" indent="1"/>
    </xf>
    <xf numFmtId="0" fontId="15" fillId="4" borderId="7" xfId="0" applyFont="1" applyFill="1" applyBorder="1" applyAlignment="1">
      <alignment horizontal="left" vertical="center" indent="1"/>
    </xf>
    <xf numFmtId="0" fontId="27" fillId="9" borderId="3" xfId="3" applyFont="1" applyFill="1" applyBorder="1">
      <alignment vertical="center"/>
    </xf>
    <xf numFmtId="0" fontId="19" fillId="10" borderId="0" xfId="0" applyFont="1" applyAlignment="1">
      <alignment wrapText="1"/>
    </xf>
    <xf numFmtId="0" fontId="20" fillId="9" borderId="3" xfId="3" applyFont="1" applyFill="1" applyBorder="1" applyAlignment="1">
      <alignment horizontal="left" vertical="center" indent="1"/>
    </xf>
    <xf numFmtId="164" fontId="14" fillId="11" borderId="8" xfId="0" applyNumberFormat="1" applyFont="1" applyFill="1" applyBorder="1" applyAlignment="1">
      <alignment horizontal="right"/>
    </xf>
    <xf numFmtId="164" fontId="14" fillId="11" borderId="5" xfId="0" applyNumberFormat="1" applyFont="1" applyFill="1" applyBorder="1" applyAlignment="1">
      <alignment horizontal="right"/>
    </xf>
    <xf numFmtId="0" fontId="29" fillId="9" borderId="0" xfId="3" applyFont="1" applyFill="1">
      <alignment vertical="center"/>
    </xf>
    <xf numFmtId="164" fontId="25" fillId="11" borderId="8" xfId="0" applyNumberFormat="1" applyFont="1" applyFill="1" applyBorder="1" applyAlignment="1">
      <alignment horizontal="right"/>
    </xf>
    <xf numFmtId="0" fontId="0" fillId="10" borderId="0" xfId="0" applyAlignment="1">
      <alignment vertical="center"/>
    </xf>
    <xf numFmtId="0" fontId="31" fillId="8" borderId="0" xfId="2" applyFont="1" applyFill="1" applyAlignment="1">
      <alignment horizontal="center" vertical="center"/>
    </xf>
    <xf numFmtId="0" fontId="32" fillId="8" borderId="0" xfId="0" applyFont="1" applyFill="1" applyAlignment="1">
      <alignment horizontal="left" vertical="top" indent="1"/>
    </xf>
    <xf numFmtId="0" fontId="33" fillId="10" borderId="0" xfId="0" applyFont="1"/>
    <xf numFmtId="0" fontId="32" fillId="8" borderId="0" xfId="0" applyFont="1" applyFill="1" applyAlignment="1">
      <alignment horizontal="left" vertical="top" wrapText="1" indent="1"/>
    </xf>
    <xf numFmtId="0" fontId="32" fillId="8" borderId="0" xfId="0" applyFont="1" applyFill="1" applyAlignment="1">
      <alignment horizontal="left" vertical="top" wrapText="1"/>
    </xf>
    <xf numFmtId="0" fontId="33" fillId="10" borderId="0" xfId="0" applyFont="1" applyAlignment="1">
      <alignment wrapText="1"/>
    </xf>
    <xf numFmtId="0" fontId="34" fillId="10" borderId="0" xfId="0" applyFont="1" applyAlignment="1">
      <alignment vertical="center" wrapText="1"/>
    </xf>
    <xf numFmtId="0" fontId="1" fillId="10" borderId="0" xfId="0" applyFont="1" applyAlignment="1">
      <alignment wrapText="1"/>
    </xf>
    <xf numFmtId="0" fontId="0" fillId="11" borderId="5" xfId="0" applyFill="1" applyBorder="1" applyAlignment="1">
      <alignment horizontal="left" vertical="center" indent="2"/>
    </xf>
    <xf numFmtId="164" fontId="0" fillId="11" borderId="5" xfId="0" applyNumberFormat="1" applyFill="1" applyBorder="1" applyAlignment="1">
      <alignment horizontal="right" vertical="center" indent="2"/>
    </xf>
    <xf numFmtId="9" fontId="0" fillId="11" borderId="5" xfId="0" applyNumberFormat="1" applyFill="1" applyBorder="1" applyAlignment="1">
      <alignment horizontal="right" vertical="center" indent="2"/>
    </xf>
    <xf numFmtId="0" fontId="33" fillId="10" borderId="6" xfId="0" applyFont="1" applyBorder="1"/>
    <xf numFmtId="0" fontId="35" fillId="10" borderId="0" xfId="0" applyFont="1" applyAlignment="1">
      <alignment vertical="center" wrapText="1"/>
    </xf>
    <xf numFmtId="0" fontId="35" fillId="10" borderId="0" xfId="0" applyFont="1" applyAlignment="1">
      <alignment wrapText="1"/>
    </xf>
    <xf numFmtId="0" fontId="36" fillId="10" borderId="0" xfId="0" applyFont="1" applyAlignment="1">
      <alignment vertical="center" wrapText="1"/>
    </xf>
    <xf numFmtId="0" fontId="23" fillId="6" borderId="9" xfId="4" applyFont="1" applyFill="1" applyBorder="1">
      <alignment horizontal="left" vertical="center" indent="1"/>
    </xf>
    <xf numFmtId="0" fontId="15" fillId="4" borderId="10" xfId="0" applyFont="1" applyFill="1" applyBorder="1" applyAlignment="1">
      <alignment horizontal="left" vertical="center" indent="1"/>
    </xf>
    <xf numFmtId="0" fontId="5" fillId="11" borderId="12" xfId="0" applyFont="1" applyFill="1" applyBorder="1" applyAlignment="1">
      <alignment horizontal="left" vertical="center" indent="1"/>
    </xf>
    <xf numFmtId="164" fontId="13" fillId="13" borderId="13" xfId="0" applyNumberFormat="1" applyFont="1" applyFill="1" applyBorder="1" applyAlignment="1">
      <alignment horizontal="right" vertical="center"/>
    </xf>
    <xf numFmtId="0" fontId="5" fillId="11" borderId="12" xfId="0" applyFont="1" applyFill="1" applyBorder="1" applyAlignment="1">
      <alignment horizontal="left" vertical="center" indent="2"/>
    </xf>
    <xf numFmtId="0" fontId="23" fillId="5" borderId="14" xfId="4" applyFont="1" applyFill="1" applyBorder="1">
      <alignment horizontal="left" vertical="center" indent="1"/>
    </xf>
    <xf numFmtId="0" fontId="19" fillId="12" borderId="15" xfId="4" applyFont="1" applyFill="1" applyBorder="1">
      <alignment horizontal="left" vertical="center" indent="1"/>
    </xf>
    <xf numFmtId="165" fontId="19" fillId="12" borderId="15" xfId="4" applyNumberFormat="1" applyFont="1" applyFill="1" applyBorder="1">
      <alignment horizontal="left" vertical="center" indent="1"/>
    </xf>
    <xf numFmtId="0" fontId="19" fillId="12" borderId="16" xfId="4" applyFont="1" applyFill="1" applyBorder="1">
      <alignment horizontal="left" vertical="center" indent="1"/>
    </xf>
    <xf numFmtId="164" fontId="13" fillId="11" borderId="20" xfId="0" applyNumberFormat="1" applyFont="1" applyFill="1" applyBorder="1" applyAlignment="1">
      <alignment horizontal="right" vertical="center"/>
    </xf>
    <xf numFmtId="164" fontId="13" fillId="13" borderId="17" xfId="0" applyNumberFormat="1" applyFont="1" applyFill="1" applyBorder="1" applyAlignment="1">
      <alignment horizontal="right" vertical="center"/>
    </xf>
    <xf numFmtId="164" fontId="13" fillId="11" borderId="19" xfId="0" applyNumberFormat="1" applyFont="1" applyFill="1" applyBorder="1" applyAlignment="1">
      <alignment horizontal="right" vertical="center"/>
    </xf>
    <xf numFmtId="0" fontId="23" fillId="5" borderId="9" xfId="4" applyFont="1" applyFill="1" applyBorder="1">
      <alignment horizontal="left" vertical="center" indent="1"/>
    </xf>
    <xf numFmtId="0" fontId="19" fillId="12" borderId="22" xfId="4" applyFont="1" applyFill="1" applyBorder="1">
      <alignment horizontal="left" vertical="center" indent="1"/>
    </xf>
    <xf numFmtId="0" fontId="19" fillId="12" borderId="23" xfId="4" applyFont="1" applyFill="1" applyBorder="1">
      <alignment horizontal="left" vertical="center" indent="1"/>
    </xf>
    <xf numFmtId="165" fontId="19" fillId="12" borderId="23" xfId="4" applyNumberFormat="1" applyFont="1" applyFill="1" applyBorder="1">
      <alignment horizontal="left" vertical="center" indent="1"/>
    </xf>
    <xf numFmtId="0" fontId="19" fillId="12" borderId="24" xfId="4" applyFont="1" applyFill="1" applyBorder="1">
      <alignment horizontal="left" vertical="center" indent="1"/>
    </xf>
    <xf numFmtId="0" fontId="23" fillId="5" borderId="25" xfId="4" applyFont="1" applyFill="1" applyBorder="1">
      <alignment horizontal="left" vertical="center" indent="1"/>
    </xf>
    <xf numFmtId="164" fontId="13" fillId="11" borderId="27" xfId="0" applyNumberFormat="1" applyFont="1" applyFill="1" applyBorder="1" applyAlignment="1">
      <alignment horizontal="right" vertical="center"/>
    </xf>
    <xf numFmtId="164" fontId="13" fillId="11" borderId="28" xfId="0" applyNumberFormat="1" applyFont="1" applyFill="1" applyBorder="1" applyAlignment="1">
      <alignment horizontal="right" vertical="center"/>
    </xf>
    <xf numFmtId="164" fontId="13" fillId="11" borderId="29" xfId="0" applyNumberFormat="1" applyFont="1" applyFill="1" applyBorder="1" applyAlignment="1">
      <alignment horizontal="right" vertical="center"/>
    </xf>
    <xf numFmtId="164" fontId="13" fillId="11" borderId="18" xfId="0" applyNumberFormat="1" applyFont="1" applyFill="1" applyBorder="1" applyAlignment="1">
      <alignment horizontal="right" vertical="center"/>
    </xf>
    <xf numFmtId="0" fontId="23" fillId="7" borderId="14" xfId="4" applyFont="1" applyFill="1" applyBorder="1">
      <alignment horizontal="left" vertical="center" indent="1"/>
    </xf>
    <xf numFmtId="164" fontId="0" fillId="13" borderId="13" xfId="0" applyNumberFormat="1" applyFill="1" applyBorder="1" applyAlignment="1">
      <alignment horizontal="right" vertical="center"/>
    </xf>
    <xf numFmtId="164" fontId="0" fillId="13" borderId="17" xfId="0" applyNumberFormat="1" applyFill="1" applyBorder="1" applyAlignment="1">
      <alignment horizontal="right" vertical="center"/>
    </xf>
    <xf numFmtId="164" fontId="13" fillId="11" borderId="21" xfId="0" applyNumberFormat="1" applyFont="1" applyFill="1" applyBorder="1" applyAlignment="1">
      <alignment horizontal="right" vertical="center"/>
    </xf>
    <xf numFmtId="0" fontId="23" fillId="6" borderId="14" xfId="4" applyFont="1" applyFill="1" applyBorder="1">
      <alignment horizontal="left" vertical="center" indent="1"/>
    </xf>
    <xf numFmtId="164" fontId="0" fillId="11" borderId="20" xfId="0" applyNumberFormat="1" applyFill="1" applyBorder="1" applyAlignment="1">
      <alignment horizontal="right" vertical="center"/>
    </xf>
    <xf numFmtId="164" fontId="0" fillId="11" borderId="21" xfId="0" applyNumberFormat="1" applyFill="1" applyBorder="1" applyAlignment="1">
      <alignment horizontal="right" vertical="center"/>
    </xf>
    <xf numFmtId="164" fontId="0" fillId="11" borderId="18" xfId="0" applyNumberFormat="1" applyFill="1" applyBorder="1" applyAlignment="1">
      <alignment horizontal="right" vertical="center"/>
    </xf>
    <xf numFmtId="164" fontId="0" fillId="11" borderId="19" xfId="0" applyNumberFormat="1" applyFill="1" applyBorder="1" applyAlignment="1">
      <alignment horizontal="right" vertical="center"/>
    </xf>
    <xf numFmtId="0" fontId="19" fillId="12" borderId="15" xfId="4" applyFont="1" applyFill="1" applyBorder="1" applyAlignment="1">
      <alignment horizontal="center" vertical="center"/>
    </xf>
    <xf numFmtId="165" fontId="19" fillId="12" borderId="15" xfId="4" applyNumberFormat="1" applyFont="1" applyFill="1" applyBorder="1" applyAlignment="1">
      <alignment horizontal="center" vertical="center"/>
    </xf>
    <xf numFmtId="0" fontId="19" fillId="12" borderId="16" xfId="4" applyFont="1" applyFill="1" applyBorder="1" applyAlignment="1">
      <alignment horizontal="center" vertical="center"/>
    </xf>
    <xf numFmtId="0" fontId="19" fillId="12" borderId="14" xfId="4" applyFont="1" applyFill="1" applyBorder="1" applyAlignment="1">
      <alignment horizontal="center" vertical="center"/>
    </xf>
    <xf numFmtId="0" fontId="5" fillId="11" borderId="30" xfId="0" applyFont="1" applyFill="1" applyBorder="1" applyAlignment="1">
      <alignment horizontal="left" vertical="center" indent="2"/>
    </xf>
    <xf numFmtId="0" fontId="39" fillId="4" borderId="0" xfId="0" applyFont="1" applyFill="1" applyAlignment="1">
      <alignment horizontal="left" vertical="top" indent="1"/>
    </xf>
    <xf numFmtId="0" fontId="15" fillId="4" borderId="17" xfId="0" applyFont="1" applyFill="1" applyBorder="1" applyAlignment="1">
      <alignment horizontal="left" vertical="center" indent="1"/>
    </xf>
    <xf numFmtId="0" fontId="26" fillId="11" borderId="19" xfId="0" applyFont="1" applyFill="1" applyBorder="1" applyAlignment="1">
      <alignment horizontal="left" vertical="center" indent="1"/>
    </xf>
    <xf numFmtId="164" fontId="0" fillId="11" borderId="20" xfId="0" applyNumberFormat="1" applyFill="1" applyBorder="1" applyAlignment="1">
      <alignment vertical="center"/>
    </xf>
    <xf numFmtId="0" fontId="19" fillId="12" borderId="14" xfId="4" applyFont="1" applyFill="1" applyBorder="1">
      <alignment horizontal="left" vertical="center" indent="1"/>
    </xf>
    <xf numFmtId="164" fontId="0" fillId="11" borderId="19" xfId="0" applyNumberFormat="1" applyFill="1" applyBorder="1" applyAlignment="1">
      <alignment vertical="center"/>
    </xf>
    <xf numFmtId="0" fontId="26" fillId="11" borderId="11" xfId="0" applyFont="1" applyFill="1" applyBorder="1" applyAlignment="1">
      <alignment horizontal="left" vertical="center" indent="1"/>
    </xf>
    <xf numFmtId="164" fontId="0" fillId="11" borderId="21" xfId="0" applyNumberFormat="1" applyFill="1" applyBorder="1" applyAlignment="1">
      <alignment vertical="center"/>
    </xf>
    <xf numFmtId="0" fontId="26" fillId="11" borderId="19" xfId="0" applyFont="1" applyFill="1" applyBorder="1" applyAlignment="1">
      <alignment horizontal="left" vertical="center" indent="2"/>
    </xf>
    <xf numFmtId="164" fontId="24" fillId="11" borderId="20" xfId="0" applyNumberFormat="1" applyFont="1" applyFill="1" applyBorder="1" applyAlignment="1">
      <alignment horizontal="right" vertical="center"/>
    </xf>
    <xf numFmtId="0" fontId="23" fillId="7" borderId="9" xfId="4" applyFont="1" applyFill="1" applyBorder="1">
      <alignment horizontal="left" vertical="center" indent="1"/>
    </xf>
    <xf numFmtId="164" fontId="14" fillId="11" borderId="31" xfId="0" applyNumberFormat="1" applyFont="1" applyFill="1" applyBorder="1" applyAlignment="1">
      <alignment horizontal="right"/>
    </xf>
    <xf numFmtId="164" fontId="14" fillId="11" borderId="6" xfId="0" applyNumberFormat="1" applyFont="1" applyFill="1" applyBorder="1" applyAlignment="1">
      <alignment horizontal="right"/>
    </xf>
    <xf numFmtId="0" fontId="15" fillId="4" borderId="4" xfId="0" applyFont="1" applyFill="1" applyBorder="1" applyAlignment="1">
      <alignment horizontal="left" vertical="center" indent="1"/>
    </xf>
    <xf numFmtId="0" fontId="29" fillId="9" borderId="32" xfId="3" applyFont="1" applyFill="1" applyBorder="1">
      <alignment vertical="center"/>
    </xf>
    <xf numFmtId="0" fontId="19" fillId="12" borderId="15" xfId="4" applyFont="1" applyFill="1" applyBorder="1" applyAlignment="1">
      <alignment horizontal="left"/>
    </xf>
    <xf numFmtId="165" fontId="19" fillId="12" borderId="15" xfId="4" applyNumberFormat="1" applyFont="1" applyFill="1" applyBorder="1" applyAlignment="1">
      <alignment horizontal="left"/>
    </xf>
    <xf numFmtId="0" fontId="19" fillId="12" borderId="16" xfId="4" applyFont="1" applyFill="1" applyBorder="1" applyAlignment="1">
      <alignment horizontal="left"/>
    </xf>
    <xf numFmtId="0" fontId="18" fillId="11" borderId="19" xfId="0" applyFont="1" applyFill="1" applyBorder="1" applyAlignment="1">
      <alignment horizontal="left" vertical="center" indent="1"/>
    </xf>
    <xf numFmtId="0" fontId="17" fillId="11" borderId="19" xfId="0" applyFont="1" applyFill="1" applyBorder="1" applyAlignment="1">
      <alignment horizontal="left" vertical="center" indent="2"/>
    </xf>
    <xf numFmtId="0" fontId="5" fillId="11" borderId="19" xfId="0" applyFont="1" applyFill="1" applyBorder="1" applyAlignment="1">
      <alignment horizontal="left" vertical="center" indent="1"/>
    </xf>
    <xf numFmtId="164" fontId="13" fillId="11" borderId="20" xfId="0" applyNumberFormat="1" applyFont="1" applyFill="1" applyBorder="1" applyAlignment="1">
      <alignment vertical="center"/>
    </xf>
    <xf numFmtId="0" fontId="18" fillId="11" borderId="19" xfId="0" applyFont="1" applyFill="1" applyBorder="1" applyAlignment="1">
      <alignment horizontal="left" vertical="center" indent="2"/>
    </xf>
    <xf numFmtId="0" fontId="0" fillId="11" borderId="2" xfId="0" applyFill="1" applyBorder="1" applyAlignment="1">
      <alignment horizontal="left" vertical="center" indent="1"/>
    </xf>
    <xf numFmtId="0" fontId="15" fillId="4" borderId="26" xfId="0" applyFont="1" applyFill="1" applyBorder="1" applyAlignment="1">
      <alignment horizontal="left" vertical="center" indent="1"/>
    </xf>
    <xf numFmtId="0" fontId="0" fillId="10" borderId="0" xfId="0" applyAlignment="1">
      <alignment horizontal="left" indent="1"/>
    </xf>
    <xf numFmtId="0" fontId="3" fillId="10" borderId="0" xfId="0" applyFont="1" applyAlignment="1">
      <alignment horizontal="left"/>
    </xf>
    <xf numFmtId="0" fontId="19" fillId="10" borderId="0" xfId="0" applyFont="1" applyAlignment="1">
      <alignment wrapText="1"/>
    </xf>
    <xf numFmtId="0" fontId="19" fillId="10" borderId="0" xfId="0" applyFont="1"/>
    <xf numFmtId="0" fontId="28" fillId="4" borderId="0" xfId="0" applyFont="1" applyFill="1" applyAlignment="1">
      <alignment horizontal="center" vertical="top"/>
    </xf>
    <xf numFmtId="0" fontId="16" fillId="4" borderId="0" xfId="2" applyAlignment="1">
      <alignment horizontal="left" indent="1"/>
    </xf>
    <xf numFmtId="0" fontId="5" fillId="10" borderId="0" xfId="0" applyFont="1" applyAlignment="1">
      <alignment horizontal="center"/>
    </xf>
    <xf numFmtId="0" fontId="3" fillId="10" borderId="0" xfId="0" applyFont="1" applyAlignment="1">
      <alignment horizontal="center"/>
    </xf>
    <xf numFmtId="0" fontId="12" fillId="8" borderId="0" xfId="1" applyFont="1" applyFill="1" applyAlignment="1">
      <alignment horizontal="left" vertical="top" indent="1"/>
    </xf>
    <xf numFmtId="0" fontId="11" fillId="4" borderId="0" xfId="5" applyFill="1" applyAlignment="1">
      <alignment horizontal="left" vertical="top" indent="1"/>
    </xf>
    <xf numFmtId="0" fontId="37" fillId="4" borderId="0" xfId="5" applyFont="1" applyFill="1" applyAlignment="1">
      <alignment horizontal="left" vertical="top" indent="1"/>
    </xf>
    <xf numFmtId="0" fontId="3" fillId="10" borderId="0" xfId="0" applyFont="1" applyAlignment="1">
      <alignment horizontal="left"/>
    </xf>
    <xf numFmtId="0" fontId="3" fillId="10" borderId="0" xfId="0" applyFont="1" applyAlignment="1">
      <alignment horizontal="left" indent="1"/>
    </xf>
    <xf numFmtId="0" fontId="16" fillId="4" borderId="0" xfId="2" applyAlignment="1">
      <alignment horizontal="right" vertical="center" indent="3"/>
    </xf>
    <xf numFmtId="0" fontId="38" fillId="4" borderId="0" xfId="2" applyFont="1" applyAlignment="1">
      <alignment horizontal="center" wrapText="1"/>
    </xf>
    <xf numFmtId="0" fontId="30" fillId="11" borderId="0" xfId="0" applyFont="1" applyFill="1" applyAlignment="1">
      <alignment horizontal="center"/>
    </xf>
  </cellXfs>
  <cellStyles count="6">
    <cellStyle name="Explanatory Text" xfId="5" builtinId="53" customBuiltin="1"/>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443">
    <dxf>
      <font>
        <b val="0"/>
        <i val="0"/>
        <strike val="0"/>
        <condense val="0"/>
        <extend val="0"/>
        <outline val="0"/>
        <shadow val="0"/>
        <u val="none"/>
        <vertAlign val="baseline"/>
        <sz val="9"/>
        <color theme="1" tint="0.24994659260841701"/>
        <name val="Microsoft Sans Serif"/>
        <scheme val="minor"/>
      </font>
      <numFmt numFmtId="13" formatCode="0%"/>
      <fill>
        <patternFill patternType="solid">
          <fgColor indexed="64"/>
          <bgColor theme="6" tint="0.79998168889431442"/>
        </patternFill>
      </fill>
      <alignment horizontal="right" vertical="center" textRotation="0" wrapText="0" indent="2"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2"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2"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2"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scheme val="minor"/>
      </font>
      <numFmt numFmtId="0" formatCode="General"/>
      <fill>
        <patternFill patternType="solid">
          <fgColor indexed="64"/>
          <bgColor theme="6" tint="0.79998168889431442"/>
        </patternFill>
      </fill>
      <alignment horizontal="left" vertical="center" textRotation="0" wrapText="0" indent="2"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border outline="0">
        <bottom style="medium">
          <color theme="6" tint="0.39997558519241921"/>
        </bottom>
      </border>
    </dxf>
    <dxf>
      <font>
        <b val="0"/>
        <i val="0"/>
        <strike val="0"/>
        <condense val="0"/>
        <extend val="0"/>
        <outline val="0"/>
        <shadow val="0"/>
        <u val="none"/>
        <vertAlign val="baseline"/>
        <sz val="9"/>
        <color theme="1" tint="0.24994659260841701"/>
        <name val="Microsoft Sans Serif"/>
        <scheme val="minor"/>
      </font>
      <fill>
        <patternFill patternType="solid">
          <fgColor indexed="64"/>
          <bgColor theme="6" tint="0.79998168889431442"/>
        </patternFill>
      </fill>
      <alignment horizontal="right" vertical="center" textRotation="0" wrapText="0" indent="2" relativeIndent="255" justifyLastLine="0" shrinkToFit="0" readingOrder="0"/>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outline="0">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10"/>
        <color theme="0"/>
        <name val="Microsoft Sans Serif"/>
        <scheme val="minor"/>
      </font>
      <numFmt numFmtId="0" formatCode="General"/>
      <fill>
        <patternFill patternType="solid">
          <fgColor indexed="64"/>
          <bgColor theme="3"/>
        </patternFill>
      </fill>
      <alignment horizontal="left" vertical="center" textRotation="0" wrapText="0" indent="0" relativeIndent="1" justifyLastLine="0" shrinkToFit="0" readingOrder="0"/>
      <border diagonalUp="0" diagonalDown="0" outline="0">
        <left style="medium">
          <color theme="6" tint="0.39997558519241921"/>
        </left>
        <right style="medium">
          <color theme="6" tint="0.39997558519241921"/>
        </right>
        <top style="medium">
          <color theme="6" tint="0.39997558519241921"/>
        </top>
        <bottom/>
      </border>
    </dxf>
    <dxf>
      <border outline="0">
        <bottom style="medium">
          <color theme="6" tint="0.39997558519241921"/>
        </bottom>
      </border>
    </dxf>
    <dxf>
      <font>
        <b/>
        <i val="0"/>
        <strike val="0"/>
        <condense val="0"/>
        <extend val="0"/>
        <outline val="0"/>
        <shadow val="0"/>
        <u val="none"/>
        <vertAlign val="baseline"/>
        <sz val="9"/>
        <color auto="1"/>
        <name val="Microsoft Sans Serif"/>
        <scheme val="minor"/>
      </font>
      <fill>
        <patternFill patternType="solid">
          <fgColor indexed="64"/>
          <bgColor theme="6" tint="0.79998168889431442"/>
        </patternFill>
      </fill>
      <alignment horizontal="right" vertical="bottom" textRotation="0" wrapText="0" indent="0" relativeIndent="255" justifyLastLine="0" shrinkToFit="0" readingOrder="0"/>
    </dxf>
    <dxf>
      <font>
        <b/>
        <i val="0"/>
        <strike val="0"/>
        <condense val="0"/>
        <extend val="0"/>
        <outline val="0"/>
        <shadow val="0"/>
        <u val="none"/>
        <vertAlign val="baseline"/>
        <sz val="14"/>
        <color theme="2"/>
        <name val="Franklin Gothic Book"/>
        <scheme val="major"/>
      </font>
      <numFmt numFmtId="0" formatCode="General"/>
      <fill>
        <patternFill patternType="solid">
          <fgColor indexed="64"/>
          <bgColor theme="3" tint="-0.499984740745262"/>
        </patternFill>
      </fill>
      <alignment horizontal="general" vertical="center" textRotation="0" wrapText="0" indent="0" relativeIndent="255" justifyLastLine="0" shrinkToFit="0" readingOrder="0"/>
    </dxf>
    <dxf>
      <fill>
        <patternFill patternType="solid">
          <fgColor indexed="64"/>
          <bgColor theme="6" tint="0.79998168889431442"/>
        </patternFill>
      </fill>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right style="medium">
          <color theme="6" tint="0.39994506668294322"/>
        </right>
        <top/>
        <bottom/>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right style="medium">
          <color theme="6" tint="0.39994506668294322"/>
        </right>
        <top/>
        <bottom/>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color theme="1"/>
        <name val="Microsoft Sans Serif"/>
        <scheme val="minor"/>
      </font>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color theme="1"/>
        <name val="Microsoft Sans Serif"/>
        <scheme val="minor"/>
      </font>
      <fill>
        <patternFill patternType="solid">
          <fgColor indexed="64"/>
          <bgColor theme="6" tint="0.79998168889431442"/>
        </patternFill>
      </fill>
      <alignment vertical="center" textRotation="0" wrapText="0" indent="0" relativeIndent="255" justifyLastLine="0" shrinkToFit="0" readingOrder="0"/>
      <border diagonalUp="0" diagonalDown="0" outline="0">
        <left/>
        <right style="medium">
          <color theme="6" tint="0.39994506668294322"/>
        </right>
        <top/>
        <bottom/>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b val="0"/>
      </font>
      <fill>
        <patternFill patternType="solid">
          <fgColor indexed="64"/>
          <bgColor theme="6" tint="0.79998168889431442"/>
        </patternFill>
      </fill>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horizontal="left" vertical="center" textRotation="0" wrapText="0" justifyLastLine="0" shrinkToFit="0" readingOrder="0"/>
      <border diagonalUp="0" diagonalDown="0">
        <left/>
        <right style="medium">
          <color theme="6" tint="0.39994506668294322"/>
        </right>
        <top/>
        <bottom/>
        <vertical style="medium">
          <color theme="6" tint="0.39994506668294322"/>
        </vertical>
        <horizontal style="medium">
          <color theme="6" tint="0.39994506668294322"/>
        </horizontal>
      </border>
    </dxf>
    <dxf>
      <alignment horizontal="left" vertical="center" textRotation="0" wrapText="0" indent="0" relativeIndent="1" justifyLastLine="0" shrinkToFit="0" readingOrder="0"/>
    </dxf>
    <dxf>
      <border>
        <top style="medium">
          <color theme="6" tint="0.39994506668294322"/>
        </top>
      </border>
    </dxf>
    <dxf>
      <fill>
        <patternFill patternType="solid">
          <fgColor indexed="64"/>
          <bgColor theme="6" tint="0.79998168889431442"/>
        </patternFill>
      </fill>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bottom" textRotation="0" wrapText="0" indent="0" relativeIndent="255" justifyLastLine="0" shrinkToFit="0" readingOrder="0"/>
      <border diagonalUp="0" diagonalDown="0" outline="0">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10"/>
        <color theme="0"/>
        <name val="Microsoft Sans Serif"/>
        <scheme val="minor"/>
      </font>
      <numFmt numFmtId="0" formatCode="General"/>
      <fill>
        <patternFill patternType="solid">
          <fgColor indexed="64"/>
          <bgColor theme="3"/>
        </patternFill>
      </fill>
      <alignment horizontal="left" vertical="center" textRotation="0" wrapText="0" indent="0" relativeIndent="1" justifyLastLine="0" shrinkToFit="0" readingOrder="0"/>
      <border diagonalUp="0" diagonalDown="0" outline="0">
        <left/>
        <right/>
        <top style="medium">
          <color theme="6" tint="0.39997558519241921"/>
        </top>
        <bottom/>
      </border>
    </dxf>
    <dxf>
      <border outline="0">
        <left style="medium">
          <color theme="6" tint="0.39997558519241921"/>
        </left>
        <bottom style="medium">
          <color theme="6" tint="0.39997558519241921"/>
        </bottom>
      </border>
    </dxf>
    <dxf>
      <font>
        <b/>
        <i val="0"/>
        <strike val="0"/>
        <condense val="0"/>
        <extend val="0"/>
        <outline val="0"/>
        <shadow val="0"/>
        <u val="none"/>
        <vertAlign val="baseline"/>
        <sz val="9"/>
        <color theme="1"/>
        <name val="Microsoft Sans Serif"/>
        <scheme val="minor"/>
      </font>
      <fill>
        <patternFill patternType="solid">
          <fgColor indexed="64"/>
          <bgColor theme="6" tint="0.79998168889431442"/>
        </patternFill>
      </fill>
      <alignment horizontal="right" vertical="bottom" textRotation="0" wrapText="0" indent="0" relativeIndent="255" justifyLastLine="0" shrinkToFit="0" readingOrder="0"/>
    </dxf>
    <dxf>
      <font>
        <b/>
        <i val="0"/>
        <strike val="0"/>
        <condense val="0"/>
        <extend val="0"/>
        <outline val="0"/>
        <shadow val="0"/>
        <u val="none"/>
        <vertAlign val="baseline"/>
        <sz val="14"/>
        <color theme="2"/>
        <name val="Franklin Gothic Book"/>
        <scheme val="major"/>
      </font>
      <numFmt numFmtId="0" formatCode="General"/>
      <fill>
        <patternFill patternType="solid">
          <fgColor indexed="64"/>
          <bgColor theme="3" tint="-0.499984740745262"/>
        </patternFill>
      </fill>
      <alignment horizontal="general" vertical="center" textRotation="0" wrapText="0" indent="0" relativeIndent="255" justifyLastLine="0" shrinkToFit="0" readingOrder="0"/>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top/>
        <bottom/>
      </border>
    </dxf>
    <dxf>
      <alignmen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auto="1"/>
        <name val="Microsoft Sans Serif"/>
        <scheme val="minor"/>
      </font>
      <fill>
        <patternFill patternType="solid">
          <fgColor indexed="64"/>
          <bgColor theme="6" tint="0.79998168889431442"/>
        </patternFill>
      </fill>
      <alignment horizontal="left" vertical="center" textRotation="0" wrapText="0" indent="0" relativeIndent="255" justifyLastLine="0" shrinkToFit="0" readingOrder="0"/>
      <border diagonalUp="0" diagonalDown="0">
        <left/>
        <right/>
        <top style="medium">
          <color theme="6" tint="0.39994506668294322"/>
        </top>
        <bottom style="medium">
          <color theme="6" tint="0.39994506668294322"/>
        </bottom>
        <vertical/>
        <horizontal style="medium">
          <color theme="6" tint="0.39994506668294322"/>
        </horizontal>
      </border>
    </dxf>
    <dxf>
      <alignment horizontal="left" vertical="center" textRotation="0" wrapText="0" inden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alignment horizontal="righ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auto="1"/>
        <name val="Microsoft Sans Serif"/>
        <scheme val="minor"/>
      </font>
      <fill>
        <patternFill patternType="solid">
          <fgColor indexed="64"/>
          <bgColor theme="6" tint="0.79998168889431442"/>
        </patternFill>
      </fill>
      <alignment horizontal="left" vertical="center" textRotation="0" wrapText="0" justifyLastLine="0" shrinkToFit="0" readingOrder="0"/>
      <border diagonalUp="0" diagonalDown="0" outline="0">
        <left/>
        <right style="medium">
          <color theme="6" tint="0.39994506668294322"/>
        </right>
        <top/>
        <bottom/>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color auto="1"/>
        <name val="Microsoft Sans Serif"/>
        <scheme val="minor"/>
      </font>
      <fill>
        <patternFill patternType="solid">
          <fgColor indexed="64"/>
          <bgColor theme="6" tint="0.79998168889431442"/>
        </patternFill>
      </fill>
      <alignment vertical="center" textRotation="0" wrapText="0" indent="0" relativeIndent="255" justifyLastLine="0" shrinkToFit="0" readingOrder="0"/>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alignmen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auto="1"/>
        <name val="Microsoft Sans Serif"/>
        <scheme val="minor"/>
      </font>
      <fill>
        <patternFill patternType="solid">
          <fgColor indexed="64"/>
          <bgColor theme="6" tint="0.79998168889431442"/>
        </patternFill>
      </fill>
      <alignment vertical="center" textRotation="0" wrapText="0" indent="0" relativeIndent="255" justifyLastLine="0" shrinkToFit="0" readingOrder="0"/>
      <border diagonalUp="0" diagonalDown="0">
        <left/>
        <right style="medium">
          <color theme="6" tint="0.39994506668294322"/>
        </right>
        <top/>
        <bottom/>
        <vertical style="medium">
          <color theme="6" tint="0.39994506668294322"/>
        </vertical>
        <horizontal style="medium">
          <color theme="6" tint="0.39994506668294322"/>
        </horizontal>
      </border>
    </dxf>
    <dxf>
      <alignment horizontal="left" vertical="center" textRotation="0" wrapText="0" inden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sz val="10"/>
        <color auto="1"/>
        <name val="Microsoft Sans Serif"/>
        <scheme val="minor"/>
      </font>
      <fill>
        <patternFill patternType="solid">
          <fgColor indexed="64"/>
          <bgColor theme="6" tint="0.79998168889431442"/>
        </patternFill>
      </fill>
      <border diagonalUp="0" diagonalDown="0">
        <left/>
        <right style="medium">
          <color theme="6" tint="0.39994506668294322"/>
        </right>
        <top/>
        <bottom/>
        <vertical style="medium">
          <color theme="6" tint="0.39994506668294322"/>
        </vertical>
        <horizontal style="medium">
          <color theme="6" tint="0.39994506668294322"/>
        </horizontal>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right style="medium">
          <color theme="6" tint="0.39997558519241921"/>
        </right>
        <top style="medium">
          <color theme="6" tint="0.39997558519241921"/>
        </top>
        <bottom/>
      </border>
    </dxf>
    <dxf>
      <font>
        <b/>
        <i val="0"/>
        <strike val="0"/>
        <condense val="0"/>
        <extend val="0"/>
        <outline val="0"/>
        <shadow val="0"/>
        <u val="none"/>
        <vertAlign val="baseline"/>
        <sz val="10"/>
        <color theme="0"/>
        <name val="Microsoft Sans Serif"/>
        <scheme val="minor"/>
      </font>
      <numFmt numFmtId="0" formatCode="General"/>
      <fill>
        <patternFill patternType="solid">
          <fgColor indexed="64"/>
          <bgColor theme="3"/>
        </patternFill>
      </fill>
      <alignment horizontal="left" vertical="center" textRotation="0" wrapText="0" indent="0" relativeIndent="1" justifyLastLine="0" shrinkToFit="0" readingOrder="0"/>
      <border diagonalUp="0" diagonalDown="0" outline="0">
        <left/>
        <right style="medium">
          <color theme="6" tint="0.39997558519241921"/>
        </right>
        <top style="medium">
          <color theme="6" tint="0.39997558519241921"/>
        </top>
        <bottom/>
      </border>
    </dxf>
    <dxf>
      <border outline="0">
        <top style="medium">
          <color theme="6" tint="0.39997558519241921"/>
        </top>
      </border>
    </dxf>
    <dxf>
      <border outline="0">
        <left style="medium">
          <color theme="6" tint="0.39997558519241921"/>
        </left>
        <bottom style="medium">
          <color theme="6" tint="0.39997558519241921"/>
        </bottom>
      </border>
    </dxf>
    <dxf>
      <font>
        <b/>
        <i val="0"/>
        <strike val="0"/>
        <condense val="0"/>
        <extend val="0"/>
        <outline val="0"/>
        <shadow val="0"/>
        <u val="none"/>
        <vertAlign val="baseline"/>
        <sz val="9"/>
        <color theme="1"/>
        <name val="Microsoft Sans Serif"/>
        <scheme val="minor"/>
      </font>
      <fill>
        <patternFill patternType="solid">
          <fgColor indexed="64"/>
          <bgColor theme="6" tint="0.79998168889431442"/>
        </patternFill>
      </fill>
      <alignment horizontal="right" vertical="center" textRotation="0" wrapText="0" indent="0" relativeIndent="255" justifyLastLine="0" shrinkToFit="0" readingOrder="0"/>
    </dxf>
    <dxf>
      <border outline="0">
        <bottom style="medium">
          <color theme="6" tint="0.39997558519241921"/>
        </bottom>
      </border>
    </dxf>
    <dxf>
      <font>
        <b/>
        <i val="0"/>
        <strike val="0"/>
        <condense val="0"/>
        <extend val="0"/>
        <outline val="0"/>
        <shadow val="0"/>
        <u val="none"/>
        <vertAlign val="baseline"/>
        <sz val="10"/>
        <color theme="0"/>
        <name val="Franklin Gothic Book"/>
        <scheme val="major"/>
      </font>
      <numFmt numFmtId="0" formatCode="General"/>
      <fill>
        <patternFill patternType="solid">
          <fgColor indexed="64"/>
          <bgColor theme="3" tint="-0.499984740745262"/>
        </patternFill>
      </fill>
      <alignment horizontal="general" vertical="center" textRotation="0" wrapText="0" indent="0" relativeIndent="255" justifyLastLine="0" shrinkToFit="0" readingOrder="0"/>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top/>
        <bottom/>
      </border>
    </dxf>
    <dxf>
      <font>
        <strike val="0"/>
        <outline val="0"/>
        <shadow val="0"/>
        <u val="none"/>
        <vertAlign val="baseline"/>
        <sz val="9"/>
        <color theme="1"/>
        <name val="Microsoft Sans Serif"/>
        <scheme val="minor"/>
      </font>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theme="1"/>
        <name val="Microsoft Sans Serif"/>
        <scheme val="minor"/>
      </font>
      <fill>
        <patternFill patternType="solid">
          <fgColor indexed="64"/>
          <bgColor theme="6" tint="0.79998168889431442"/>
        </patternFill>
      </fill>
      <border diagonalUp="0" diagonalDown="0">
        <left/>
        <right style="medium">
          <color theme="6" tint="0.39991454817346722"/>
        </right>
        <top style="medium">
          <color theme="6" tint="0.39994506668294322"/>
        </top>
        <bottom/>
        <vertical/>
        <horizontal/>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alignment horizontal="righ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sz val="10"/>
        <color theme="1"/>
        <name val="Microsoft Sans Serif"/>
        <scheme val="minor"/>
      </font>
      <fill>
        <patternFill patternType="solid">
          <fgColor indexed="64"/>
          <bgColor theme="6" tint="0.79998168889431442"/>
        </patternFill>
      </fill>
      <border diagonalUp="0" diagonalDown="0">
        <left/>
        <right style="medium">
          <color theme="6" tint="0.39991454817346722"/>
        </right>
        <top style="medium">
          <color theme="6" tint="0.39994506668294322"/>
        </top>
        <bottom/>
        <vertical/>
        <horizontal/>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font>
        <strike val="0"/>
        <outline val="0"/>
        <shadow val="0"/>
        <u val="none"/>
        <vertAlign val="baseline"/>
        <sz val="9"/>
        <color theme="1"/>
        <name val="Microsoft Sans Serif"/>
        <scheme val="minor"/>
      </font>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scheme val="minor"/>
      </font>
      <fill>
        <patternFill patternType="solid">
          <fgColor indexed="64"/>
          <bgColor theme="6" tint="0.79998168889431442"/>
        </patternFill>
      </fill>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alignment horizontal="righ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sz val="10"/>
        <color theme="1"/>
        <name val="Microsoft Sans Serif"/>
        <scheme val="minor"/>
      </font>
      <fill>
        <patternFill patternType="solid">
          <fgColor indexed="64"/>
          <bgColor theme="6" tint="0.79998168889431442"/>
        </patternFill>
      </fill>
      <border diagonalUp="0" diagonalDown="0">
        <left/>
        <right style="medium">
          <color theme="6" tint="0.39991454817346722"/>
        </right>
        <top style="medium">
          <color theme="6" tint="0.39994506668294322"/>
        </top>
        <bottom/>
        <vertical/>
        <horizontal/>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top/>
        <bottom/>
      </border>
    </dxf>
    <dxf>
      <font>
        <strike val="0"/>
        <outline val="0"/>
        <shadow val="0"/>
        <u val="none"/>
        <vertAlign val="baseline"/>
        <sz val="9"/>
        <color theme="1"/>
        <name val="Microsoft Sans Serif"/>
        <scheme val="minor"/>
      </font>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scheme val="minor"/>
      </font>
      <numFmt numFmtId="164" formatCode="&quot;$&quot;#,##0.00_);[Red]\(&quot;$&quot;#,##0.00\)"/>
      <fill>
        <patternFill patternType="solid">
          <fgColor indexed="64"/>
          <bgColor theme="6" tint="0.79998168889431442"/>
        </patternFill>
      </fill>
      <alignment horizontal="right" vertical="center" textRotation="0" wrapText="0" indent="0" relativeIndent="255" justifyLastLine="0" shrinkToFit="0" readingOrder="0"/>
      <border diagonalUp="0" diagonalDown="0">
        <left/>
        <right style="medium">
          <color theme="6" tint="0.39994506668294322"/>
        </right>
        <top/>
        <bottom/>
        <horizontal/>
      </border>
    </dxf>
    <dxf>
      <font>
        <strike val="0"/>
        <outline val="0"/>
        <shadow val="0"/>
        <u val="none"/>
        <vertAlign val="baseline"/>
        <sz val="9"/>
        <color theme="1"/>
        <name val="Microsoft Sans Serif"/>
        <scheme val="minor"/>
      </font>
      <fill>
        <patternFill patternType="solid">
          <fgColor indexed="64"/>
          <bgColor theme="0"/>
        </patternFill>
      </fill>
      <alignment horizontal="right" vertical="center" textRotation="0" wrapText="0" indent="0" relativeIndent="255"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b/>
        <i val="0"/>
        <strike val="0"/>
        <condense val="0"/>
        <extend val="0"/>
        <outline val="0"/>
        <shadow val="0"/>
        <u val="none"/>
        <vertAlign val="baseline"/>
        <sz val="10"/>
        <color theme="1"/>
        <name val="Microsoft Sans Serif"/>
        <scheme val="minor"/>
      </font>
      <fill>
        <patternFill patternType="solid">
          <fgColor indexed="64"/>
          <bgColor theme="6" tint="0.79998168889431442"/>
        </patternFill>
      </fill>
      <alignment horizontal="left" vertical="center" textRotation="0" wrapText="0" indent="2" relativeIndent="255" justifyLastLine="0" shrinkToFit="0" readingOrder="0"/>
      <border diagonalUp="0" diagonalDown="0">
        <left style="medium">
          <color theme="6" tint="0.39988402966399123"/>
        </left>
        <right style="medium">
          <color theme="6" tint="0.39985351115451523"/>
        </right>
        <top style="medium">
          <color theme="6" tint="0.39994506668294322"/>
        </top>
        <bottom style="medium">
          <color theme="6" tint="0.39985351115451523"/>
        </bottom>
        <vertical/>
        <horizontal/>
      </border>
    </dxf>
    <dxf>
      <font>
        <b/>
        <strike val="0"/>
        <outline val="0"/>
        <shadow val="0"/>
        <u val="none"/>
        <vertAlign val="baseline"/>
        <sz val="10"/>
        <color theme="0"/>
        <name val="Microsoft Sans Serif"/>
        <scheme val="minor"/>
      </font>
      <fill>
        <patternFill patternType="solid">
          <fgColor indexed="64"/>
          <bgColor theme="3"/>
        </patternFill>
      </fill>
      <alignment horizontal="left" vertical="center" textRotation="0" wrapText="0" indent="0" relativeIndent="-1" justifyLastLine="0" shrinkToFit="0" readingOrder="0"/>
      <border diagonalUp="0" diagonalDown="0" outline="0">
        <left style="medium">
          <color theme="6" tint="0.39988402966399123"/>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right style="medium">
          <color theme="6" tint="0.39994506668294322"/>
        </right>
        <top/>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color auto="1"/>
      </font>
      <fill>
        <patternFill patternType="none">
          <bgColor auto="1"/>
        </patternFill>
      </fill>
      <border diagonalUp="0" diagonalDown="0">
        <left/>
        <right/>
        <top/>
        <bottom/>
        <vertical/>
        <horizontal style="medium">
          <color theme="6" tint="0.39994506668294322"/>
        </horizontal>
      </border>
    </dxf>
    <dxf>
      <font>
        <color theme="1"/>
      </font>
      <fill>
        <patternFill patternType="solid">
          <fgColor theme="0" tint="-0.14993743705557422"/>
          <bgColor theme="0"/>
        </patternFill>
      </fill>
      <border diagonalUp="0" diagonalDown="0">
        <left/>
        <right/>
        <top/>
        <bottom/>
        <vertical/>
        <horizontal style="medium">
          <color theme="6" tint="0.39994506668294322"/>
        </horizontal>
      </border>
    </dxf>
    <dxf>
      <font>
        <b val="0"/>
        <i val="0"/>
        <color theme="1"/>
      </font>
      <fill>
        <patternFill>
          <bgColor theme="6" tint="0.79998168889431442"/>
        </patternFill>
      </fill>
      <border diagonalUp="0" diagonalDown="0">
        <left/>
        <right/>
        <top/>
        <bottom/>
        <vertical/>
        <horizontal style="medium">
          <color theme="6" tint="0.39994506668294322"/>
        </horizontal>
      </border>
    </dxf>
    <dxf>
      <font>
        <color theme="0"/>
      </font>
      <fill>
        <patternFill>
          <fgColor theme="3"/>
          <bgColor theme="3"/>
        </patternFill>
      </fill>
      <border diagonalUp="0" diagonalDown="0">
        <left/>
        <right/>
        <top/>
        <bottom/>
        <vertical/>
        <horizontal style="medium">
          <color theme="6" tint="0.39994506668294322"/>
        </horizontal>
      </border>
    </dxf>
    <dxf>
      <font>
        <b/>
        <i val="0"/>
        <color theme="1"/>
      </font>
      <fill>
        <patternFill>
          <bgColor theme="6" tint="0.79998168889431442"/>
        </patternFill>
      </fill>
      <border diagonalUp="0" diagonalDown="0">
        <left/>
        <right/>
        <top style="medium">
          <color theme="6" tint="0.39994506668294322"/>
        </top>
        <bottom/>
        <vertical style="medium">
          <color theme="6" tint="0.39991454817346722"/>
        </vertical>
        <horizontal/>
      </border>
    </dxf>
    <dxf>
      <font>
        <color theme="6" tint="0.39994506668294322"/>
      </font>
      <fill>
        <patternFill>
          <bgColor theme="6" tint="0.39994506668294322"/>
        </patternFill>
      </fill>
      <border diagonalUp="0" diagonalDown="0">
        <left/>
        <right/>
        <top/>
        <bottom style="medium">
          <color theme="6" tint="0.39994506668294322"/>
        </bottom>
        <vertical/>
        <horizontal/>
      </border>
    </dxf>
    <dxf>
      <font>
        <b val="0"/>
        <i val="0"/>
        <color theme="1"/>
      </font>
      <fill>
        <patternFill>
          <bgColor theme="0"/>
        </patternFill>
      </fill>
      <border diagonalUp="0" diagonalDown="0">
        <left/>
        <right/>
        <top style="medium">
          <color theme="6" tint="0.39994506668294322"/>
        </top>
        <bottom style="medium">
          <color theme="6" tint="0.39994506668294322"/>
        </bottom>
        <vertical style="medium">
          <color theme="6" tint="0.39994506668294322"/>
        </vertical>
        <horizontal style="medium">
          <color theme="6" tint="0.39994506668294322"/>
        </horizontal>
      </border>
    </dxf>
  </dxfs>
  <tableStyles count="1" defaultTableStyle="Detailed expense estimates Table 2" defaultPivotStyle="PivotStyleLight16">
    <tableStyle name="Detailed expense estimates Table 2" pivot="0" count="7">
      <tableStyleElement type="wholeTable" dxfId="442"/>
      <tableStyleElement type="headerRow" dxfId="441"/>
      <tableStyleElement type="totalRow" dxfId="440"/>
      <tableStyleElement type="firstColumn" dxfId="439"/>
      <tableStyleElement type="lastColumn" dxfId="438"/>
      <tableStyleElement type="firstRowStripe" size="9" dxfId="437"/>
      <tableStyleElement type="firstColumnStripe" dxfId="436"/>
    </tableStyle>
  </tableStyles>
  <colors>
    <mruColors>
      <color rgb="FF3B893D"/>
      <color rgb="FF99CCFF"/>
      <color rgb="FFFFCC99"/>
      <color rgb="FF8000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5"/>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Monthly Expenses</a:t>
            </a:r>
          </a:p>
        </c:rich>
      </c:tx>
      <c:layout>
        <c:manualLayout>
          <c:xMode val="edge"/>
          <c:yMode val="edge"/>
          <c:x val="1.0996591979294404E-2"/>
          <c:y val="8.9032056798246106E-3"/>
        </c:manualLayout>
      </c:layout>
      <c:spPr>
        <a:noFill/>
        <a:ln>
          <a:noFill/>
        </a:ln>
        <a:effectLst/>
      </c:spPr>
    </c:title>
    <c:plotArea>
      <c:layout/>
      <c:barChart>
        <c:barDir val="col"/>
        <c:grouping val="clustered"/>
        <c:ser>
          <c:idx val="1"/>
          <c:order val="1"/>
          <c:tx>
            <c:v>Planned</c:v>
          </c:tx>
          <c:spPr>
            <a:solidFill>
              <a:schemeClr val="accent2"/>
            </a:solidFill>
            <a:ln>
              <a:noFill/>
            </a:ln>
            <a:effectLst/>
          </c:spPr>
          <c:val>
            <c:numRef>
              <c:f>'PLANNED EXPENSES'!$C$36:$N$36</c:f>
              <c:numCache>
                <c:formatCode>"$"#,##0.00_);[Red]\("$"#,##0.00\)</c:formatCode>
                <c:ptCount val="12"/>
                <c:pt idx="0">
                  <c:v>131420</c:v>
                </c:pt>
                <c:pt idx="1">
                  <c:v>126820</c:v>
                </c:pt>
                <c:pt idx="2">
                  <c:v>126820</c:v>
                </c:pt>
                <c:pt idx="3">
                  <c:v>137695</c:v>
                </c:pt>
                <c:pt idx="4">
                  <c:v>129695</c:v>
                </c:pt>
                <c:pt idx="5">
                  <c:v>130495</c:v>
                </c:pt>
                <c:pt idx="6">
                  <c:v>134695</c:v>
                </c:pt>
                <c:pt idx="7">
                  <c:v>138918</c:v>
                </c:pt>
                <c:pt idx="8">
                  <c:v>135918</c:v>
                </c:pt>
                <c:pt idx="9">
                  <c:v>140918</c:v>
                </c:pt>
                <c:pt idx="10">
                  <c:v>136218</c:v>
                </c:pt>
                <c:pt idx="11">
                  <c:v>140018</c:v>
                </c:pt>
              </c:numCache>
            </c:numRef>
          </c:val>
          <c:extLst xmlns:c16r2="http://schemas.microsoft.com/office/drawing/2015/06/chart">
            <c:ext xmlns:c16="http://schemas.microsoft.com/office/drawing/2014/chart" uri="{C3380CC4-5D6E-409C-BE32-E72D297353CC}">
              <c16:uniqueId val="{00000000-135D-4DB7-A511-401DE3785DC9}"/>
            </c:ext>
          </c:extLst>
        </c:ser>
        <c:ser>
          <c:idx val="2"/>
          <c:order val="2"/>
          <c:tx>
            <c:v>Actual</c:v>
          </c:tx>
          <c:spPr>
            <a:solidFill>
              <a:schemeClr val="accent4">
                <a:alpha val="25000"/>
              </a:schemeClr>
            </a:solidFill>
            <a:ln>
              <a:noFill/>
            </a:ln>
            <a:effectLst/>
          </c:spPr>
          <c:val>
            <c:numRef>
              <c:f>'ACTUAL EXPENSES'!$C$36:$N$36</c:f>
              <c:numCache>
                <c:formatCode>"$"#,##0.00_);[Red]\("$"#,##0.00\)</c:formatCode>
                <c:ptCount val="12"/>
                <c:pt idx="0">
                  <c:v>129682</c:v>
                </c:pt>
                <c:pt idx="1">
                  <c:v>127804</c:v>
                </c:pt>
                <c:pt idx="2">
                  <c:v>125565</c:v>
                </c:pt>
                <c:pt idx="3">
                  <c:v>137394</c:v>
                </c:pt>
                <c:pt idx="4">
                  <c:v>128255</c:v>
                </c:pt>
                <c:pt idx="5">
                  <c:v>134239</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135D-4DB7-A511-401DE3785DC9}"/>
            </c:ext>
          </c:extLst>
        </c:ser>
        <c:gapWidth val="100"/>
        <c:axId val="85479808"/>
        <c:axId val="85481728"/>
      </c:barChart>
      <c:lineChart>
        <c:grouping val="standard"/>
        <c:ser>
          <c:idx val="0"/>
          <c:order val="0"/>
          <c:tx>
            <c:v>Variance</c:v>
          </c:tx>
          <c:spPr>
            <a:ln w="28575" cap="rnd">
              <a:solidFill>
                <a:schemeClr val="accent3">
                  <a:shade val="65000"/>
                </a:schemeClr>
              </a:solidFill>
              <a:round/>
            </a:ln>
            <a:effectLst/>
          </c:spPr>
          <c:marker>
            <c:symbol val="none"/>
          </c:marker>
          <c:val>
            <c:numRef>
              <c:f>'EXPENSE VARIANCES'!$C$36:$N$36</c:f>
              <c:numCache>
                <c:formatCode>"$"#,##0.00_);[Red]\("$"#,##0.00\)</c:formatCode>
                <c:ptCount val="12"/>
                <c:pt idx="0">
                  <c:v>1738</c:v>
                </c:pt>
                <c:pt idx="1">
                  <c:v>-984</c:v>
                </c:pt>
                <c:pt idx="2">
                  <c:v>1255</c:v>
                </c:pt>
                <c:pt idx="3">
                  <c:v>301</c:v>
                </c:pt>
                <c:pt idx="4">
                  <c:v>1440</c:v>
                </c:pt>
                <c:pt idx="5">
                  <c:v>-3744</c:v>
                </c:pt>
                <c:pt idx="6">
                  <c:v>134695</c:v>
                </c:pt>
                <c:pt idx="7">
                  <c:v>138918</c:v>
                </c:pt>
                <c:pt idx="8">
                  <c:v>135918</c:v>
                </c:pt>
                <c:pt idx="9">
                  <c:v>140918</c:v>
                </c:pt>
                <c:pt idx="10">
                  <c:v>136218</c:v>
                </c:pt>
                <c:pt idx="11">
                  <c:v>140018</c:v>
                </c:pt>
              </c:numCache>
            </c:numRef>
          </c:val>
          <c:extLst xmlns:c16r2="http://schemas.microsoft.com/office/drawing/2015/06/chart">
            <c:ext xmlns:c16="http://schemas.microsoft.com/office/drawing/2014/chart" uri="{C3380CC4-5D6E-409C-BE32-E72D297353CC}">
              <c16:uniqueId val="{00000002-135D-4DB7-A511-401DE3785DC9}"/>
            </c:ext>
          </c:extLst>
        </c:ser>
        <c:marker val="1"/>
        <c:axId val="85479808"/>
        <c:axId val="85481728"/>
      </c:lineChart>
      <c:catAx>
        <c:axId val="85479808"/>
        <c:scaling>
          <c:orientation val="minMax"/>
        </c:scaling>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Month</a:t>
                </a:r>
              </a:p>
            </c:rich>
          </c:tx>
          <c:spPr>
            <a:noFill/>
            <a:ln>
              <a:noFill/>
            </a:ln>
            <a:effectLst/>
          </c:spPr>
        </c:title>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5481728"/>
        <c:crosses val="autoZero"/>
        <c:auto val="1"/>
        <c:lblAlgn val="ctr"/>
        <c:lblOffset val="100"/>
      </c:catAx>
      <c:valAx>
        <c:axId val="85481728"/>
        <c:scaling>
          <c:orientation val="minMax"/>
        </c:scaling>
        <c:axPos val="l"/>
        <c:majorGridlines>
          <c:spPr>
            <a:ln w="3175" cap="flat" cmpd="sng" algn="ctr">
              <a:solidFill>
                <a:schemeClr val="bg1">
                  <a:lumMod val="75000"/>
                  <a:alpha val="2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Expenses</a:t>
                </a:r>
              </a:p>
            </c:rich>
          </c:tx>
          <c:spPr>
            <a:noFill/>
            <a:ln>
              <a:noFill/>
            </a:ln>
            <a:effectLst/>
          </c:spPr>
        </c:title>
        <c:numFmt formatCode="&quot;$&quot;#,##0_);[Red]\(&quot;$&quot;#,##0\)" sourceLinked="0"/>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5479808"/>
        <c:crosses val="autoZero"/>
        <c:crossBetween val="between"/>
        <c:dispUnits>
          <c:builtInUnit val="tenThousands"/>
          <c:dispUnitsLbl>
            <c:layout>
              <c:manualLayout>
                <c:xMode val="edge"/>
                <c:yMode val="edge"/>
                <c:x val="4.1853475435826903E-2"/>
                <c:y val="0.11317096082764758"/>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1.8591667626513466E-4"/>
          <c:y val="5.3074322488831559E-2"/>
          <c:w val="0.33878368215294802"/>
          <c:h val="3.5797897231067979E-2"/>
        </c:manualLayout>
      </c:layout>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847698573031225"/>
          <c:y val="0.17330539881195361"/>
          <c:w val="0.79968138263906341"/>
          <c:h val="0.71853463513379434"/>
        </c:manualLayout>
      </c:layout>
      <c:barChart>
        <c:barDir val="bar"/>
        <c:grouping val="clustered"/>
        <c:ser>
          <c:idx val="1"/>
          <c:order val="0"/>
          <c:tx>
            <c:strRef>
              <c:f>'EXPENSE ANALYSIS'!$C$5</c:f>
              <c:strCache>
                <c:ptCount val="1"/>
                <c:pt idx="0">
                  <c:v>Planned Expenses</c:v>
                </c:pt>
              </c:strCache>
            </c:strRef>
          </c:tx>
          <c:spPr>
            <a:solidFill>
              <a:schemeClr val="accent2"/>
            </a:solidFill>
            <a:ln w="19050">
              <a:noFill/>
            </a:ln>
            <a:effectLst/>
          </c:spPr>
          <c:cat>
            <c:strRef>
              <c:f>'EXPENSE ANALYSIS'!$B$6:$B$9</c:f>
              <c:strCache>
                <c:ptCount val="4"/>
                <c:pt idx="0">
                  <c:v>Employee Costs</c:v>
                </c:pt>
                <c:pt idx="1">
                  <c:v>Office Costs</c:v>
                </c:pt>
                <c:pt idx="2">
                  <c:v>Marketing Costs</c:v>
                </c:pt>
                <c:pt idx="3">
                  <c:v>Training/Travel</c:v>
                </c:pt>
              </c:strCache>
            </c:strRef>
          </c:cat>
          <c:val>
            <c:numRef>
              <c:f>'EXPENSE ANALYSIS'!$C$6:$C$9</c:f>
              <c:numCache>
                <c:formatCode>"$"#,##0.00_);[Red]\("$"#,##0.00\)</c:formatCode>
                <c:ptCount val="4"/>
                <c:pt idx="0">
                  <c:v>1355090</c:v>
                </c:pt>
                <c:pt idx="1">
                  <c:v>138740</c:v>
                </c:pt>
                <c:pt idx="2">
                  <c:v>67800</c:v>
                </c:pt>
                <c:pt idx="3">
                  <c:v>48000</c:v>
                </c:pt>
              </c:numCache>
            </c:numRef>
          </c:val>
          <c:extLst xmlns:c16r2="http://schemas.microsoft.com/office/drawing/2015/06/chart">
            <c:ext xmlns:c16="http://schemas.microsoft.com/office/drawing/2014/chart" uri="{C3380CC4-5D6E-409C-BE32-E72D297353CC}">
              <c16:uniqueId val="{00000009-F485-485F-B818-D5944CB69AAB}"/>
            </c:ext>
          </c:extLst>
        </c:ser>
        <c:ser>
          <c:idx val="0"/>
          <c:order val="1"/>
          <c:tx>
            <c:strRef>
              <c:f>'EXPENSE ANALYSIS'!$D$5</c:f>
              <c:strCache>
                <c:ptCount val="1"/>
                <c:pt idx="0">
                  <c:v>Actual Expenses</c:v>
                </c:pt>
              </c:strCache>
            </c:strRef>
          </c:tx>
          <c:spPr>
            <a:solidFill>
              <a:schemeClr val="accent4"/>
            </a:solidFill>
            <a:ln w="19050">
              <a:noFill/>
            </a:ln>
            <a:effectLst/>
          </c:spPr>
          <c:cat>
            <c:strRef>
              <c:f>'EXPENSE ANALYSIS'!$B$6:$B$9</c:f>
              <c:strCache>
                <c:ptCount val="4"/>
                <c:pt idx="0">
                  <c:v>Employee Costs</c:v>
                </c:pt>
                <c:pt idx="1">
                  <c:v>Office Costs</c:v>
                </c:pt>
                <c:pt idx="2">
                  <c:v>Marketing Costs</c:v>
                </c:pt>
                <c:pt idx="3">
                  <c:v>Training/Travel</c:v>
                </c:pt>
              </c:strCache>
            </c:strRef>
          </c:cat>
          <c:val>
            <c:numRef>
              <c:f>'EXPENSE ANALYSIS'!$D$6:$D$9</c:f>
              <c:numCache>
                <c:formatCode>"$"#,##0.00_);[Red]\("$"#,##0.00\)</c:formatCode>
                <c:ptCount val="4"/>
                <c:pt idx="0">
                  <c:v>659130</c:v>
                </c:pt>
                <c:pt idx="1">
                  <c:v>69350</c:v>
                </c:pt>
                <c:pt idx="2">
                  <c:v>33159</c:v>
                </c:pt>
                <c:pt idx="3">
                  <c:v>21300</c:v>
                </c:pt>
              </c:numCache>
            </c:numRef>
          </c:val>
          <c:extLst xmlns:c16r2="http://schemas.microsoft.com/office/drawing/2015/06/chart">
            <c:ext xmlns:c16="http://schemas.microsoft.com/office/drawing/2014/chart" uri="{C3380CC4-5D6E-409C-BE32-E72D297353CC}">
              <c16:uniqueId val="{00000008-F485-485F-B818-D5944CB69AAB}"/>
            </c:ext>
          </c:extLst>
        </c:ser>
        <c:gapWidth val="100"/>
        <c:axId val="85530112"/>
        <c:axId val="85527936"/>
      </c:barChart>
      <c:valAx>
        <c:axId val="85527936"/>
        <c:scaling>
          <c:orientation val="minMax"/>
          <c:max val="1400000"/>
        </c:scaling>
        <c:axPos val="t"/>
        <c:majorGridlines>
          <c:spPr>
            <a:ln w="9525" cap="flat" cmpd="sng" algn="ctr">
              <a:solidFill>
                <a:schemeClr val="tx1">
                  <a:lumMod val="15000"/>
                  <a:lumOff val="85000"/>
                </a:schemeClr>
              </a:solidFill>
              <a:round/>
            </a:ln>
            <a:effectLst/>
          </c:spPr>
        </c:majorGridlines>
        <c:numFmt formatCode="&quot;$&quot;#,##0_);[Red]\(&quot;$&quot;#,##0\)" sourceLinked="0"/>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30112"/>
        <c:crosses val="autoZero"/>
        <c:crossBetween val="between"/>
        <c:dispUnits>
          <c:builtInUnit val="tenThousands"/>
          <c:dispUnitsLbl>
            <c:layout>
              <c:manualLayout>
                <c:xMode val="edge"/>
                <c:yMode val="edge"/>
                <c:x val="0.88923701186841542"/>
                <c:y val="0.94119752263847334"/>
              </c:manualLayout>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catAx>
        <c:axId val="85530112"/>
        <c:scaling>
          <c:orientation val="maxMin"/>
        </c:scaling>
        <c:axPos val="l"/>
        <c:numFmt formatCode="General"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27936"/>
        <c:crosses val="autoZero"/>
        <c:auto val="1"/>
        <c:lblAlgn val="ctr"/>
        <c:lblOffset val="100"/>
      </c:catAx>
      <c:spPr>
        <a:noFill/>
        <a:ln>
          <a:noFill/>
        </a:ln>
        <a:effectLst/>
      </c:spPr>
    </c:plotArea>
    <c:legend>
      <c:legendPos val="t"/>
      <c:layout>
        <c:manualLayout>
          <c:xMode val="edge"/>
          <c:yMode val="edge"/>
          <c:x val="1.097210108087056E-3"/>
          <c:y val="1.0416663818716148E-2"/>
          <c:w val="0.29634907228550172"/>
          <c:h val="5.5844254198311974E-2"/>
        </c:manualLayout>
      </c:layout>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chart>
  <c:spPr>
    <a:no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17</xdr:col>
      <xdr:colOff>27504</xdr:colOff>
      <xdr:row>3</xdr:row>
      <xdr:rowOff>0</xdr:rowOff>
    </xdr:from>
    <xdr:to>
      <xdr:col>20</xdr:col>
      <xdr:colOff>962</xdr:colOff>
      <xdr:row>12</xdr:row>
      <xdr:rowOff>192640</xdr:rowOff>
    </xdr:to>
    <xdr:sp macro="" textlink="">
      <xdr:nvSpPr>
        <xdr:cNvPr id="3" name="Speech Bubble: Rectangle 2" descr="Tip: HOW TO USE THIS TEMPLATE&#10;Input data in the white cells on the PLANNED EXPENSES and ACTUAL EXPENSES worksheets, and the EXPENSE VARIANCES and EXPENSE ANALYSIS will be calculated for you.  If you add a row on one sheet, the other sheets need to match&#10;">
          <a:extLst>
            <a:ext uri="{FF2B5EF4-FFF2-40B4-BE49-F238E27FC236}">
              <a16:creationId xmlns:a16="http://schemas.microsoft.com/office/drawing/2014/main" xmlns="" id="{26EBCE28-31AF-4664-B39F-77F2857D060F}"/>
            </a:ext>
          </a:extLst>
        </xdr:cNvPr>
        <xdr:cNvSpPr/>
      </xdr:nvSpPr>
      <xdr:spPr>
        <a:xfrm>
          <a:off x="15629454" y="1257300"/>
          <a:ext cx="1935608" cy="3288265"/>
        </a:xfrm>
        <a:prstGeom prst="wedgeRectCallout">
          <a:avLst>
            <a:gd name="adj1" fmla="val -65157"/>
            <a:gd name="adj2" fmla="val -20833"/>
          </a:avLst>
        </a:prstGeom>
        <a:solidFill>
          <a:schemeClr val="accent3">
            <a:lumMod val="20000"/>
            <a:lumOff val="80000"/>
            <a:alpha val="6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bIns="182880" rtlCol="0" anchor="t"/>
        <a:lstStyle/>
        <a:p>
          <a:r>
            <a:rPr lang="en-US" sz="1100" b="1">
              <a:solidFill>
                <a:schemeClr val="tx2"/>
              </a:solidFill>
              <a:effectLst/>
              <a:latin typeface="+mn-lt"/>
              <a:ea typeface="+mn-ea"/>
              <a:cs typeface="+mn-cs"/>
            </a:rPr>
            <a:t>HOW TO USE THIS TEMPLATE</a:t>
          </a:r>
        </a:p>
        <a:p>
          <a:endParaRPr lang="en-US">
            <a:solidFill>
              <a:schemeClr val="tx2"/>
            </a:solidFill>
            <a:effectLst/>
          </a:endParaRPr>
        </a:p>
        <a:p>
          <a:r>
            <a:rPr lang="en-US" sz="1100">
              <a:solidFill>
                <a:schemeClr val="tx2"/>
              </a:solidFill>
              <a:effectLst/>
              <a:latin typeface="+mn-lt"/>
              <a:ea typeface="+mn-ea"/>
              <a:cs typeface="+mn-cs"/>
            </a:rPr>
            <a:t>Input data in the white cells on the PLANNED EXPENSES and ACTUAL EXPENSES worksheets, and the EXPENSE VARIANCES and EXPENSE ANALYSIS will be calculated for you.  If you add a row on one sheet, the</a:t>
          </a:r>
          <a:r>
            <a:rPr lang="en-US" sz="1100" baseline="0">
              <a:solidFill>
                <a:schemeClr val="tx2"/>
              </a:solidFill>
              <a:effectLst/>
              <a:latin typeface="+mn-lt"/>
              <a:ea typeface="+mn-ea"/>
              <a:cs typeface="+mn-cs"/>
            </a:rPr>
            <a:t> other sheets need to match.</a:t>
          </a:r>
          <a:endParaRPr lang="en-US" sz="1100">
            <a:solidFill>
              <a:schemeClr val="tx2"/>
            </a:solidFill>
          </a:endParaRPr>
        </a:p>
      </xdr:txBody>
    </xdr:sp>
    <xdr:clientData fPrintsWithSheet="0"/>
  </xdr:twoCellAnchor>
  <xdr:twoCellAnchor editAs="oneCell">
    <xdr:from>
      <xdr:col>13</xdr:col>
      <xdr:colOff>267556</xdr:colOff>
      <xdr:row>1</xdr:row>
      <xdr:rowOff>0</xdr:rowOff>
    </xdr:from>
    <xdr:to>
      <xdr:col>14</xdr:col>
      <xdr:colOff>946372</xdr:colOff>
      <xdr:row>2</xdr:row>
      <xdr:rowOff>141360</xdr:rowOff>
    </xdr:to>
    <xdr:pic>
      <xdr:nvPicPr>
        <xdr:cNvPr id="9" name="Picture 18" descr="Logo placeholder">
          <a:extLst>
            <a:ext uri="{FF2B5EF4-FFF2-40B4-BE49-F238E27FC236}">
              <a16:creationId xmlns:a16="http://schemas.microsoft.com/office/drawing/2014/main" xmlns="" id="{65A40888-9F83-43E7-A699-52663041FF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asvg="http://schemas.microsoft.com/office/drawing/2016/SVG/main" xmlns="" r:embed="rId2"/>
            </a:ext>
          </a:extLst>
        </a:blip>
        <a:stretch>
          <a:fillRect/>
        </a:stretch>
      </xdr:blipFill>
      <xdr:spPr bwMode="auto">
        <a:xfrm>
          <a:off x="13206573" y="214045"/>
          <a:ext cx="1631209" cy="70857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267556</xdr:colOff>
      <xdr:row>1</xdr:row>
      <xdr:rowOff>0</xdr:rowOff>
    </xdr:from>
    <xdr:to>
      <xdr:col>14</xdr:col>
      <xdr:colOff>946372</xdr:colOff>
      <xdr:row>2</xdr:row>
      <xdr:rowOff>141360</xdr:rowOff>
    </xdr:to>
    <xdr:pic>
      <xdr:nvPicPr>
        <xdr:cNvPr id="6" name="Picture 18" descr="Logo placeholder">
          <a:extLst>
            <a:ext uri="{FF2B5EF4-FFF2-40B4-BE49-F238E27FC236}">
              <a16:creationId xmlns:a16="http://schemas.microsoft.com/office/drawing/2014/main" xmlns="" id="{83DAF7B9-4C56-44AA-B3C3-38F1A49B55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asvg="http://schemas.microsoft.com/office/drawing/2016/SVG/main" xmlns="" r:embed="rId2"/>
            </a:ext>
          </a:extLst>
        </a:blip>
        <a:stretch>
          <a:fillRect/>
        </a:stretch>
      </xdr:blipFill>
      <xdr:spPr bwMode="auto">
        <a:xfrm>
          <a:off x="13364431" y="304800"/>
          <a:ext cx="1631316" cy="7128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238125</xdr:colOff>
      <xdr:row>1</xdr:row>
      <xdr:rowOff>0</xdr:rowOff>
    </xdr:from>
    <xdr:to>
      <xdr:col>14</xdr:col>
      <xdr:colOff>925147</xdr:colOff>
      <xdr:row>2</xdr:row>
      <xdr:rowOff>129496</xdr:rowOff>
    </xdr:to>
    <xdr:pic>
      <xdr:nvPicPr>
        <xdr:cNvPr id="6" name="Picture 18" descr="Logo placeholder">
          <a:extLst>
            <a:ext uri="{FF2B5EF4-FFF2-40B4-BE49-F238E27FC236}">
              <a16:creationId xmlns:a16="http://schemas.microsoft.com/office/drawing/2014/main" xmlns="" id="{A2E6D019-45AC-4D89-848F-C976B436C0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 uri="{96DAC541-7B7A-43D3-8B79-37D633B846F1}">
              <asvg:svgBlip xmlns:asvg="http://schemas.microsoft.com/office/drawing/2016/SVG/main" xmlns="" r:embed="rId2"/>
            </a:ext>
          </a:extLst>
        </a:blip>
        <a:stretch>
          <a:fillRect/>
        </a:stretch>
      </xdr:blipFill>
      <xdr:spPr bwMode="auto">
        <a:xfrm>
          <a:off x="13211175" y="304800"/>
          <a:ext cx="1639522" cy="7009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12</xdr:row>
      <xdr:rowOff>200025</xdr:rowOff>
    </xdr:from>
    <xdr:to>
      <xdr:col>6</xdr:col>
      <xdr:colOff>5939</xdr:colOff>
      <xdr:row>16</xdr:row>
      <xdr:rowOff>5778</xdr:rowOff>
    </xdr:to>
    <xdr:graphicFrame macro="">
      <xdr:nvGraphicFramePr>
        <xdr:cNvPr id="8" name="MonthlyExpensesChart" descr="Chart showing Planned, Actual, and Variance in Monthly Expenses">
          <a:extLst>
            <a:ext uri="{FF2B5EF4-FFF2-40B4-BE49-F238E27FC236}">
              <a16:creationId xmlns:a16="http://schemas.microsoft.com/office/drawing/2014/main" xmlns="" id="{00000000-0008-0000-03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447675</xdr:colOff>
      <xdr:row>1</xdr:row>
      <xdr:rowOff>0</xdr:rowOff>
    </xdr:from>
    <xdr:to>
      <xdr:col>6</xdr:col>
      <xdr:colOff>69215</xdr:colOff>
      <xdr:row>1</xdr:row>
      <xdr:rowOff>550531</xdr:rowOff>
    </xdr:to>
    <xdr:pic>
      <xdr:nvPicPr>
        <xdr:cNvPr id="9" name="Picture 18" descr="Logo placeholder">
          <a:extLst>
            <a:ext uri="{FF2B5EF4-FFF2-40B4-BE49-F238E27FC236}">
              <a16:creationId xmlns:a16="http://schemas.microsoft.com/office/drawing/2014/main" xmlns="" id="{7C6D1F32-6273-47BA-873D-2E5A8467E2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bwMode="auto">
        <a:xfrm>
          <a:off x="7219950" y="304800"/>
          <a:ext cx="1259840" cy="55053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xdr:colOff>
      <xdr:row>11</xdr:row>
      <xdr:rowOff>0</xdr:rowOff>
    </xdr:from>
    <xdr:to>
      <xdr:col>5</xdr:col>
      <xdr:colOff>1488140</xdr:colOff>
      <xdr:row>11</xdr:row>
      <xdr:rowOff>3657601</xdr:rowOff>
    </xdr:to>
    <xdr:graphicFrame macro="">
      <xdr:nvGraphicFramePr>
        <xdr:cNvPr id="7" name="ActualExpensesChart" descr="Pie chart showing actual expenses incurred on various categories">
          <a:extLst>
            <a:ext uri="{FF2B5EF4-FFF2-40B4-BE49-F238E27FC236}">
              <a16:creationId xmlns:a16="http://schemas.microsoft.com/office/drawing/2014/main" xmlns="" id="{FE109E8A-EB22-46B1-850C-BFD738E25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OfficePlan" displayName="OfficePlan" ref="B10:O19" totalsRowCount="1" headerRowDxfId="435" totalsRowDxfId="432" headerRowBorderDxfId="434" tableBorderDxfId="433" totalsRowBorderDxfId="431">
  <autoFilter ref="B10: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Office Costs" totalsRowLabel="Subtotal" dataDxfId="430" totalsRowDxfId="429"/>
    <tableColumn id="2" name="Jan" totalsRowFunction="sum" dataDxfId="428" totalsRowDxfId="427"/>
    <tableColumn id="3" name="Feb" totalsRowFunction="sum" dataDxfId="426" totalsRowDxfId="425"/>
    <tableColumn id="4" name="Mar" totalsRowFunction="sum" dataDxfId="424" totalsRowDxfId="423"/>
    <tableColumn id="5" name="Apr" totalsRowFunction="sum" dataDxfId="422" totalsRowDxfId="421"/>
    <tableColumn id="6" name="May" totalsRowFunction="sum" dataDxfId="420" totalsRowDxfId="419"/>
    <tableColumn id="7" name="Jun" totalsRowFunction="sum" dataDxfId="418" totalsRowDxfId="417"/>
    <tableColumn id="8" name="Jul" totalsRowFunction="sum" dataDxfId="416" totalsRowDxfId="415"/>
    <tableColumn id="9" name="Aug" totalsRowFunction="sum" dataDxfId="414" totalsRowDxfId="413"/>
    <tableColumn id="10" name="Sep" totalsRowFunction="sum" dataDxfId="412" totalsRowDxfId="411"/>
    <tableColumn id="11" name="Oct" totalsRowFunction="sum" dataDxfId="410" totalsRowDxfId="409"/>
    <tableColumn id="12" name="Nov" totalsRowFunction="sum" dataDxfId="408" totalsRowDxfId="407"/>
    <tableColumn id="13" name="Dec" totalsRowFunction="sum" dataDxfId="406" totalsRowDxfId="405"/>
    <tableColumn id="14" name="YEAR" totalsRowFunction="sum" dataDxfId="404" totalsRowDxfId="403">
      <calculatedColumnFormula>SUM(C11:N11)</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Enter planned monthly office costs in this table. Total is auto calculated at the end"/>
    </ext>
  </extLst>
</table>
</file>

<file path=xl/tables/table2.xml><?xml version="1.0" encoding="utf-8"?>
<table xmlns="http://schemas.openxmlformats.org/spreadsheetml/2006/main" id="2" name="MarketingPlan" displayName="MarketingPlan" ref="B21:O28" totalsRowCount="1" headerRowDxfId="402" totalsRowDxfId="399" headerRowBorderDxfId="401" tableBorderDxfId="400" totalsRowBorderDxfId="398">
  <autoFilter ref="B21:O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arketing Costs" totalsRowLabel="Subtotal" dataDxfId="397" totalsRowDxfId="396"/>
    <tableColumn id="2" name="Jan" totalsRowFunction="sum" dataDxfId="395" totalsRowDxfId="394"/>
    <tableColumn id="3" name="Feb" totalsRowFunction="sum" dataDxfId="393" totalsRowDxfId="392"/>
    <tableColumn id="4" name="Mar" totalsRowFunction="sum" dataDxfId="391" totalsRowDxfId="390"/>
    <tableColumn id="5" name="Apr" totalsRowFunction="sum" dataDxfId="389" totalsRowDxfId="388"/>
    <tableColumn id="6" name="May" totalsRowFunction="sum" dataDxfId="387" totalsRowDxfId="386"/>
    <tableColumn id="7" name="Jun" totalsRowFunction="sum" dataDxfId="385" totalsRowDxfId="384"/>
    <tableColumn id="8" name="Jul" totalsRowFunction="sum" dataDxfId="383" totalsRowDxfId="382"/>
    <tableColumn id="9" name="Aug" totalsRowFunction="sum" dataDxfId="381" totalsRowDxfId="380"/>
    <tableColumn id="10" name="Sep" totalsRowFunction="sum" dataDxfId="379" totalsRowDxfId="378"/>
    <tableColumn id="11" name="Oct" totalsRowFunction="sum" dataDxfId="377" totalsRowDxfId="376"/>
    <tableColumn id="12" name="Nov" totalsRowFunction="sum" dataDxfId="375" totalsRowDxfId="374"/>
    <tableColumn id="13" name="Dec" totalsRowFunction="sum" dataDxfId="373" totalsRowDxfId="372"/>
    <tableColumn id="14" name="YEAR" totalsRowFunction="sum" dataDxfId="371" totalsRowDxfId="370">
      <calculatedColumnFormula>SUM(C22:N22)</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planned monthly marketing costs in this table. Total is auto calculated at the end"/>
    </ext>
  </extLst>
</table>
</file>

<file path=xl/tables/table3.xml><?xml version="1.0" encoding="utf-8"?>
<table xmlns="http://schemas.openxmlformats.org/spreadsheetml/2006/main" id="3" name="TrainingAndTravelPlan" displayName="TrainingAndTravelPlan" ref="B30:O33" totalsRowCount="1" headerRowDxfId="369" totalsRowDxfId="366" headerRowBorderDxfId="368" tableBorderDxfId="367" totalsRowBorderDxfId="365">
  <autoFilter ref="B30:O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raining/Travel" totalsRowLabel="Subtotal" dataDxfId="364" totalsRowDxfId="363"/>
    <tableColumn id="2" name="Jan" totalsRowFunction="sum" dataDxfId="362" totalsRowDxfId="361"/>
    <tableColumn id="3" name="Feb" totalsRowFunction="sum" dataDxfId="360" totalsRowDxfId="359"/>
    <tableColumn id="4" name="Mar" totalsRowFunction="sum" dataDxfId="358" totalsRowDxfId="357"/>
    <tableColumn id="5" name="Apr" totalsRowFunction="sum" dataDxfId="356" totalsRowDxfId="355"/>
    <tableColumn id="6" name="May" totalsRowFunction="sum" dataDxfId="354" totalsRowDxfId="353"/>
    <tableColumn id="7" name="Jun" totalsRowFunction="sum" dataDxfId="352" totalsRowDxfId="351"/>
    <tableColumn id="8" name="Jul" totalsRowFunction="sum" dataDxfId="350" totalsRowDxfId="349"/>
    <tableColumn id="9" name="Aug" totalsRowFunction="sum" dataDxfId="348" totalsRowDxfId="347"/>
    <tableColumn id="10" name="Sep" totalsRowFunction="sum" dataDxfId="346" totalsRowDxfId="345"/>
    <tableColumn id="11" name="Oct" totalsRowFunction="sum" dataDxfId="344" totalsRowDxfId="343"/>
    <tableColumn id="12" name="Nov" totalsRowFunction="sum" dataDxfId="342" totalsRowDxfId="341"/>
    <tableColumn id="13" name="Dec" totalsRowFunction="sum" dataDxfId="340" totalsRowDxfId="339"/>
    <tableColumn id="14" name="YEAR" totalsRowFunction="sum" dataDxfId="338" totalsRowDxfId="337">
      <calculatedColumnFormula>SUM(C31:N31)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planned monthly training and traveling costs in this table. Total is auto calculated at the end"/>
    </ext>
  </extLst>
</table>
</file>

<file path=xl/tables/table4.xml><?xml version="1.0" encoding="utf-8"?>
<table xmlns="http://schemas.openxmlformats.org/spreadsheetml/2006/main" id="7" name="EmployeePlan" displayName="EmployeePlan" ref="B5:O8" totalsRowCount="1" headerRowDxfId="336" totalsRowDxfId="333" headerRowBorderDxfId="335" tableBorderDxfId="334" totalsRowBorderDxfId="332">
  <autoFilter ref="B5:O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Employee Costs" totalsRowLabel="Subtotal" dataDxfId="331" totalsRowDxfId="330"/>
    <tableColumn id="2" name="Jan" totalsRowFunction="sum" dataDxfId="329" totalsRowDxfId="328">
      <calculatedColumnFormula>C5*0.27</calculatedColumnFormula>
    </tableColumn>
    <tableColumn id="3" name="Feb" totalsRowFunction="sum" dataDxfId="327" totalsRowDxfId="326">
      <calculatedColumnFormula>D5*0.27</calculatedColumnFormula>
    </tableColumn>
    <tableColumn id="4" name="Mar" totalsRowFunction="sum" dataDxfId="325" totalsRowDxfId="324">
      <calculatedColumnFormula>E5*0.27</calculatedColumnFormula>
    </tableColumn>
    <tableColumn id="5" name="Apr" totalsRowFunction="sum" dataDxfId="323" totalsRowDxfId="322">
      <calculatedColumnFormula>F5*0.27</calculatedColumnFormula>
    </tableColumn>
    <tableColumn id="6" name="May" totalsRowFunction="sum" dataDxfId="321" totalsRowDxfId="320">
      <calculatedColumnFormula>G5*0.27</calculatedColumnFormula>
    </tableColumn>
    <tableColumn id="7" name="Jun" totalsRowFunction="sum" dataDxfId="319" totalsRowDxfId="318">
      <calculatedColumnFormula>H5*0.27</calculatedColumnFormula>
    </tableColumn>
    <tableColumn id="8" name="Jul" totalsRowFunction="sum" dataDxfId="317" totalsRowDxfId="316">
      <calculatedColumnFormula>I5*0.27</calculatedColumnFormula>
    </tableColumn>
    <tableColumn id="9" name="Aug" totalsRowFunction="sum" dataDxfId="315" totalsRowDxfId="314">
      <calculatedColumnFormula>J5*0.27</calculatedColumnFormula>
    </tableColumn>
    <tableColumn id="10" name="Sep" totalsRowFunction="sum" dataDxfId="313" totalsRowDxfId="312">
      <calculatedColumnFormula>K5*0.27</calculatedColumnFormula>
    </tableColumn>
    <tableColumn id="11" name="Oct" totalsRowFunction="sum" dataDxfId="311" totalsRowDxfId="310">
      <calculatedColumnFormula>L5*0.27</calculatedColumnFormula>
    </tableColumn>
    <tableColumn id="12" name="Nov" totalsRowFunction="sum" dataDxfId="309" totalsRowDxfId="308">
      <calculatedColumnFormula>M5*0.27</calculatedColumnFormula>
    </tableColumn>
    <tableColumn id="13" name="Dec" totalsRowFunction="sum" dataDxfId="307" totalsRowDxfId="306">
      <calculatedColumnFormula>N5*0.27</calculatedColumnFormula>
    </tableColumn>
    <tableColumn id="14" name="YEAR" totalsRowFunction="sum" dataDxfId="305" totalsRowDxfId="304">
      <calculatedColumnFormula>SUM(C6:N6)</calculatedColumnFormula>
    </tableColumn>
  </tableColumns>
  <tableStyleInfo name="TableStyleMedium1" showFirstColumn="1" showLastColumn="1" showRowStripes="1" showColumnStripes="0"/>
  <extLst>
    <ext xmlns:x14="http://schemas.microsoft.com/office/spreadsheetml/2009/9/main" uri="{504A1905-F514-4f6f-8877-14C23A59335A}">
      <x14:table altTextSummary="Enter planned monthly employee costs in this table. Total is auto calculated at the end"/>
    </ext>
  </extLst>
</table>
</file>

<file path=xl/tables/table5.xml><?xml version="1.0" encoding="utf-8"?>
<table xmlns="http://schemas.openxmlformats.org/spreadsheetml/2006/main" id="14" name="PlannedTotal" displayName="PlannedTotal" ref="B35:O37" totalsRowShown="0" headerRowDxfId="303" dataDxfId="301" headerRowBorderDxfId="302" tableBorderDxfId="300" totalsRowBorderDxfId="299" headerRowCellStyle="Heading 3">
  <autoFilter ref="B35:O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OTALS" dataDxfId="298"/>
    <tableColumn id="2" name="Jan" dataDxfId="297">
      <calculatedColumnFormula>SUM($C35:C$36)</calculatedColumnFormula>
    </tableColumn>
    <tableColumn id="3" name="Feb" dataDxfId="296">
      <calculatedColumnFormula>SUM($C35:D$36)</calculatedColumnFormula>
    </tableColumn>
    <tableColumn id="4" name="Mar" dataDxfId="295">
      <calculatedColumnFormula>SUM($C35:E$36)</calculatedColumnFormula>
    </tableColumn>
    <tableColumn id="5" name="Apr" dataDxfId="294">
      <calculatedColumnFormula>SUM($C35:F$36)</calculatedColumnFormula>
    </tableColumn>
    <tableColumn id="6" name="May" dataDxfId="293">
      <calculatedColumnFormula>SUM($C35:G$36)</calculatedColumnFormula>
    </tableColumn>
    <tableColumn id="7" name="Jun" dataDxfId="292">
      <calculatedColumnFormula>SUM($C35:H$36)</calculatedColumnFormula>
    </tableColumn>
    <tableColumn id="8" name="Jul" dataDxfId="291">
      <calculatedColumnFormula>SUM($C35:I$36)</calculatedColumnFormula>
    </tableColumn>
    <tableColumn id="9" name="Aug" dataDxfId="290">
      <calculatedColumnFormula>SUM($C35:J$36)</calculatedColumnFormula>
    </tableColumn>
    <tableColumn id="10" name="Sep" dataDxfId="289">
      <calculatedColumnFormula>SUM($C35:K$36)</calculatedColumnFormula>
    </tableColumn>
    <tableColumn id="11" name="Oct" dataDxfId="288">
      <calculatedColumnFormula>SUM($C35:L$36)</calculatedColumnFormula>
    </tableColumn>
    <tableColumn id="12" name="Nov" dataDxfId="287">
      <calculatedColumnFormula>SUM($C35:M$36)</calculatedColumnFormula>
    </tableColumn>
    <tableColumn id="13" name="Dec" dataDxfId="286">
      <calculatedColumnFormula>SUM($C35:N$36)</calculatedColumnFormula>
    </tableColumn>
    <tableColumn id="14" name="Year" dataDxfId="285"/>
  </tableColumns>
  <tableStyleInfo showFirstColumn="1" showLastColumn="0" showRowStripes="0" showColumnStripes="0"/>
  <extLst>
    <ext xmlns:x14="http://schemas.microsoft.com/office/spreadsheetml/2009/9/main" uri="{504A1905-F514-4f6f-8877-14C23A59335A}">
      <x14:table altTextSummary="Monthly and Total Planned Expenses are auto calculated in this table"/>
    </ext>
  </extLst>
</table>
</file>

<file path=xl/tables/table6.xml><?xml version="1.0" encoding="utf-8"?>
<table xmlns="http://schemas.openxmlformats.org/spreadsheetml/2006/main" id="4" name="OfficeActual" displayName="OfficeActual" ref="B10:O19" totalsRowCount="1" headerRowDxfId="284" totalsRowDxfId="281" headerRowBorderDxfId="283" tableBorderDxfId="282" totalsRowBorderDxfId="280">
  <autoFilter ref="B10: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Office Costs" totalsRowLabel="Subtotal" dataDxfId="279" totalsRowDxfId="278"/>
    <tableColumn id="2" name="Jan" totalsRowFunction="sum" dataDxfId="277" totalsRowDxfId="276"/>
    <tableColumn id="3" name="Feb" totalsRowFunction="sum" dataDxfId="275" totalsRowDxfId="274"/>
    <tableColumn id="4" name="Mar" totalsRowFunction="sum" dataDxfId="273" totalsRowDxfId="272"/>
    <tableColumn id="5" name="Apr" totalsRowFunction="sum" dataDxfId="271" totalsRowDxfId="270"/>
    <tableColumn id="6" name="May" totalsRowFunction="sum" dataDxfId="269" totalsRowDxfId="268"/>
    <tableColumn id="7" name="Jun" totalsRowFunction="sum" dataDxfId="267" totalsRowDxfId="266"/>
    <tableColumn id="8" name="Jul" totalsRowFunction="sum" dataDxfId="265" totalsRowDxfId="264"/>
    <tableColumn id="9" name="Aug" totalsRowFunction="sum" dataDxfId="263" totalsRowDxfId="262"/>
    <tableColumn id="10" name="Sep" totalsRowFunction="sum" dataDxfId="261" totalsRowDxfId="260"/>
    <tableColumn id="11" name="Oct" totalsRowFunction="sum" dataDxfId="259" totalsRowDxfId="258"/>
    <tableColumn id="12" name="Nov" totalsRowFunction="sum" dataDxfId="257" totalsRowDxfId="256"/>
    <tableColumn id="13" name="Dec" totalsRowFunction="sum" dataDxfId="255" totalsRowDxfId="254"/>
    <tableColumn id="14" name="YEAR" totalsRowFunction="sum" dataDxfId="253" totalsRowDxfId="252">
      <calculatedColumnFormula>SUM(C11:N11)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office costs in this table. Total is auto calculated at the end"/>
    </ext>
  </extLst>
</table>
</file>

<file path=xl/tables/table7.xml><?xml version="1.0" encoding="utf-8"?>
<table xmlns="http://schemas.openxmlformats.org/spreadsheetml/2006/main" id="5" name="MarketingActual" displayName="MarketingActual" ref="B21:O28" totalsRowCount="1" headerRowDxfId="251" totalsRowDxfId="248" headerRowBorderDxfId="250" tableBorderDxfId="249" totalsRowBorderDxfId="247">
  <autoFilter ref="B21:O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arketing Costs" totalsRowLabel="Subtotal" dataDxfId="246" totalsRowDxfId="245"/>
    <tableColumn id="2" name="Jan" totalsRowFunction="sum" dataDxfId="244" totalsRowDxfId="243"/>
    <tableColumn id="3" name="Feb" totalsRowFunction="sum" dataDxfId="242" totalsRowDxfId="241"/>
    <tableColumn id="4" name="Mar" totalsRowFunction="sum" dataDxfId="240" totalsRowDxfId="239"/>
    <tableColumn id="5" name="Apr" totalsRowFunction="sum" dataDxfId="238" totalsRowDxfId="237"/>
    <tableColumn id="6" name="May" totalsRowFunction="sum" dataDxfId="236" totalsRowDxfId="235"/>
    <tableColumn id="7" name="Jun" totalsRowFunction="sum" dataDxfId="234" totalsRowDxfId="233"/>
    <tableColumn id="8" name="Jul" totalsRowFunction="sum" dataDxfId="232" totalsRowDxfId="231"/>
    <tableColumn id="9" name="Aug" totalsRowFunction="sum" dataDxfId="230" totalsRowDxfId="229"/>
    <tableColumn id="10" name="Sep" totalsRowFunction="sum" dataDxfId="228" totalsRowDxfId="227"/>
    <tableColumn id="11" name="Oct" totalsRowFunction="sum" dataDxfId="226" totalsRowDxfId="225"/>
    <tableColumn id="12" name="Nov" totalsRowFunction="sum" dataDxfId="224" totalsRowDxfId="223"/>
    <tableColumn id="13" name="Dec" totalsRowFunction="sum" dataDxfId="222" totalsRowDxfId="221"/>
    <tableColumn id="14" name="YEAR" totalsRowFunction="sum" dataDxfId="220" totalsRowDxfId="219">
      <calculatedColumnFormula>SUM(C22:N22)</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marketing costs in this table. Total is auto calculated at the end"/>
    </ext>
  </extLst>
</table>
</file>

<file path=xl/tables/table8.xml><?xml version="1.0" encoding="utf-8"?>
<table xmlns="http://schemas.openxmlformats.org/spreadsheetml/2006/main" id="6" name="TrainingAndTravelActual" displayName="TrainingAndTravelActual" ref="B30:O33" totalsRowCount="1" headerRowDxfId="218" totalsRowDxfId="215" headerRowBorderDxfId="217" tableBorderDxfId="216" totalsRowBorderDxfId="214">
  <autoFilter ref="B30:O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raining/Travel" totalsRowLabel="Subtotal" dataDxfId="213" totalsRowDxfId="212"/>
    <tableColumn id="2" name="Jan" totalsRowFunction="sum" dataDxfId="211" totalsRowDxfId="210"/>
    <tableColumn id="3" name="Feb" totalsRowFunction="sum" dataDxfId="209" totalsRowDxfId="208"/>
    <tableColumn id="4" name="Mar" totalsRowFunction="sum" dataDxfId="207" totalsRowDxfId="206"/>
    <tableColumn id="5" name="Apr" totalsRowFunction="sum" dataDxfId="205" totalsRowDxfId="204"/>
    <tableColumn id="6" name="May" totalsRowFunction="sum" dataDxfId="203" totalsRowDxfId="202"/>
    <tableColumn id="7" name="Jun" totalsRowFunction="sum" dataDxfId="201" totalsRowDxfId="200"/>
    <tableColumn id="8" name="Jul" totalsRowFunction="sum" dataDxfId="199" totalsRowDxfId="198"/>
    <tableColumn id="9" name="Aug" totalsRowFunction="sum" dataDxfId="197" totalsRowDxfId="196"/>
    <tableColumn id="10" name="Sep" totalsRowFunction="sum" dataDxfId="195" totalsRowDxfId="194"/>
    <tableColumn id="11" name="Oct" totalsRowFunction="sum" dataDxfId="193" totalsRowDxfId="192"/>
    <tableColumn id="12" name="Nov" totalsRowFunction="sum" dataDxfId="191" totalsRowDxfId="190"/>
    <tableColumn id="13" name="Dec" totalsRowFunction="sum" dataDxfId="189" totalsRowDxfId="188"/>
    <tableColumn id="14" name="YEAR" totalsRowFunction="sum" dataDxfId="187" totalsRowDxfId="186">
      <calculatedColumnFormula>SUM(C31:N31)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training and traveling costs in this table. Total is auto calculated at the end"/>
    </ext>
  </extLst>
</table>
</file>

<file path=xl/tables/table9.xml><?xml version="1.0" encoding="utf-8"?>
<table xmlns="http://schemas.openxmlformats.org/spreadsheetml/2006/main" id="8" name="EmployeeActual" displayName="EmployeeActual" ref="B5:O8" totalsRowCount="1" headerRowDxfId="185" totalsRowDxfId="182" headerRowBorderDxfId="184" tableBorderDxfId="183" totalsRowBorderDxfId="181">
  <autoFilter ref="B5:O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Employee Costs" totalsRowLabel="Subtotal" dataDxfId="180" totalsRowDxfId="179"/>
    <tableColumn id="2" name="Jan" totalsRowFunction="sum" dataDxfId="178" totalsRowDxfId="177">
      <calculatedColumnFormula>C5*0.27</calculatedColumnFormula>
    </tableColumn>
    <tableColumn id="3" name="Feb" totalsRowFunction="sum" dataDxfId="176" totalsRowDxfId="175">
      <calculatedColumnFormula>D5*0.27</calculatedColumnFormula>
    </tableColumn>
    <tableColumn id="4" name="Mar" totalsRowFunction="sum" dataDxfId="174" totalsRowDxfId="173">
      <calculatedColumnFormula>E5*0.27</calculatedColumnFormula>
    </tableColumn>
    <tableColumn id="5" name="Apr" totalsRowFunction="sum" dataDxfId="172" totalsRowDxfId="171">
      <calculatedColumnFormula>F5*0.27</calculatedColumnFormula>
    </tableColumn>
    <tableColumn id="6" name="May" totalsRowFunction="sum" dataDxfId="170" totalsRowDxfId="169">
      <calculatedColumnFormula>G5*0.27</calculatedColumnFormula>
    </tableColumn>
    <tableColumn id="7" name="Jun" totalsRowFunction="sum" dataDxfId="168" totalsRowDxfId="167">
      <calculatedColumnFormula>H5*0.27</calculatedColumnFormula>
    </tableColumn>
    <tableColumn id="8" name="Jul" totalsRowFunction="sum" dataDxfId="166" totalsRowDxfId="165"/>
    <tableColumn id="9" name="Aug" totalsRowFunction="sum" dataDxfId="164" totalsRowDxfId="163"/>
    <tableColumn id="10" name="Sep" totalsRowFunction="sum" dataDxfId="162" totalsRowDxfId="161"/>
    <tableColumn id="11" name="Oct" totalsRowFunction="sum" dataDxfId="160" totalsRowDxfId="159"/>
    <tableColumn id="12" name="Nov" totalsRowFunction="sum" dataDxfId="158" totalsRowDxfId="157"/>
    <tableColumn id="13" name="Dec" totalsRowFunction="sum" dataDxfId="156" totalsRowDxfId="155"/>
    <tableColumn id="14" name="YEAR" totalsRowFunction="sum" dataDxfId="154" totalsRowDxfId="153">
      <calculatedColumnFormula>SUM(C6:N6)</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employee costs in this table. Total is auto calculated at the end"/>
    </ext>
  </extLst>
</table>
</file>

<file path=xl/tables/table10.xml><?xml version="1.0" encoding="utf-8"?>
<table xmlns="http://schemas.openxmlformats.org/spreadsheetml/2006/main" id="15" name="TotalActual" displayName="TotalActual" ref="B35:O37" totalsRowShown="0" headerRowDxfId="152" dataDxfId="151" tableBorderDxfId="150" headerRowCellStyle="Heading 3">
  <autoFilter ref="B35:O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OTAL Planned Expenses" dataDxfId="149"/>
    <tableColumn id="2" name="Jan" dataDxfId="148">
      <calculatedColumnFormula>SUM($C35:C$36)</calculatedColumnFormula>
    </tableColumn>
    <tableColumn id="3" name="Feb" dataDxfId="147">
      <calculatedColumnFormula>SUM($C35:D$36)</calculatedColumnFormula>
    </tableColumn>
    <tableColumn id="4" name="Mar" dataDxfId="146">
      <calculatedColumnFormula>SUM($C35:E$36)</calculatedColumnFormula>
    </tableColumn>
    <tableColumn id="5" name="Apr" dataDxfId="145">
      <calculatedColumnFormula>SUM($C35:F$36)</calculatedColumnFormula>
    </tableColumn>
    <tableColumn id="6" name="May" dataDxfId="144">
      <calculatedColumnFormula>SUM($C35:G$36)</calculatedColumnFormula>
    </tableColumn>
    <tableColumn id="7" name="Jun" dataDxfId="143">
      <calculatedColumnFormula>SUM($C35:H$36)</calculatedColumnFormula>
    </tableColumn>
    <tableColumn id="8" name="Jul" dataDxfId="142">
      <calculatedColumnFormula>SUM($C35:I$36)</calculatedColumnFormula>
    </tableColumn>
    <tableColumn id="9" name="Aug" dataDxfId="141">
      <calculatedColumnFormula>SUM($C35:J$36)</calculatedColumnFormula>
    </tableColumn>
    <tableColumn id="10" name="Sep" dataDxfId="140">
      <calculatedColumnFormula>SUM($C35:K$36)</calculatedColumnFormula>
    </tableColumn>
    <tableColumn id="11" name="Oct" dataDxfId="139">
      <calculatedColumnFormula>SUM($C35:L$36)</calculatedColumnFormula>
    </tableColumn>
    <tableColumn id="12" name="Nov" dataDxfId="138">
      <calculatedColumnFormula>SUM($C35:M$36)</calculatedColumnFormula>
    </tableColumn>
    <tableColumn id="13" name="Dec" dataDxfId="137">
      <calculatedColumnFormula>SUM($C35:N$36)</calculatedColumnFormula>
    </tableColumn>
    <tableColumn id="14" name="Year" dataDxfId="136"/>
  </tableColumns>
  <tableStyleInfo name="TableStyleMedium1" showFirstColumn="1" showLastColumn="0" showRowStripes="0" showColumnStripes="0"/>
  <extLst>
    <ext xmlns:x14="http://schemas.microsoft.com/office/spreadsheetml/2009/9/main" uri="{504A1905-F514-4f6f-8877-14C23A59335A}">
      <x14:table altTextSummary="Monthly and Total Actual Expenses are auto calculated in this table"/>
    </ext>
  </extLst>
</table>
</file>

<file path=xl/tables/table11.xml><?xml version="1.0" encoding="utf-8"?>
<table xmlns="http://schemas.openxmlformats.org/spreadsheetml/2006/main" id="9" name="EmployeeVariances" displayName="EmployeeVariances" ref="B5:O8" totalsRowCount="1" headerRowDxfId="130" totalsRowDxfId="127" headerRowBorderDxfId="129" tableBorderDxfId="128" totalsRowBorderDxfId="126">
  <autoFilter ref="B5:O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Employee Costs" totalsRowLabel="Subtotal" dataDxfId="125" totalsRowDxfId="124"/>
    <tableColumn id="2" name="Jan" totalsRowFunction="sum">
      <calculatedColumnFormula>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calculatedColumnFormula>
    </tableColumn>
    <tableColumn id="3" name="Feb" totalsRowFunction="sum">
      <calculatedColumnFormula>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calculatedColumnFormula>
    </tableColumn>
    <tableColumn id="4" name="Mar" totalsRowFunction="sum">
      <calculatedColumnFormula>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calculatedColumnFormula>
    </tableColumn>
    <tableColumn id="5" name="Apr" totalsRowFunction="sum">
      <calculatedColumnFormula>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calculatedColumnFormula>
    </tableColumn>
    <tableColumn id="6" name="May" totalsRowFunction="sum">
      <calculatedColumnFormula>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calculatedColumnFormula>
    </tableColumn>
    <tableColumn id="7" name="Jun" totalsRowFunction="sum">
      <calculatedColumnFormula>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calculatedColumnFormula>
    </tableColumn>
    <tableColumn id="8" name="Jul" totalsRowFunction="sum">
      <calculatedColumnFormula>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calculatedColumnFormula>
    </tableColumn>
    <tableColumn id="9" name="Aug" totalsRowFunction="sum">
      <calculatedColumnFormula>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calculatedColumnFormula>
    </tableColumn>
    <tableColumn id="10" name="Sep" totalsRowFunction="sum">
      <calculatedColumnFormula>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calculatedColumnFormula>
    </tableColumn>
    <tableColumn id="11" name="Oct" totalsRowFunction="sum">
      <calculatedColumnFormula>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calculatedColumnFormula>
    </tableColumn>
    <tableColumn id="12" name="Nov" totalsRowFunction="sum">
      <calculatedColumnFormula>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calculatedColumnFormula>
    </tableColumn>
    <tableColumn id="13" name="Dec" totalsRowFunction="sum">
      <calculatedColumnFormula>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calculatedColumnFormula>
    </tableColumn>
    <tableColumn id="14" name="YEAR" totalsRowFunction="sum" dataDxfId="123">
      <calculatedColumnFormula>SUM(EmployeeVariances[[#This Row],[Jan]:[Dec]])</calculatedColumnFormula>
    </tableColumn>
  </tableColumns>
  <tableStyleInfo name="TableStyleLight8" showFirstColumn="1" showLastColumn="0" showRowStripes="0" showColumnStripes="0"/>
  <extLst>
    <ext xmlns:x14="http://schemas.microsoft.com/office/spreadsheetml/2009/9/main" uri="{504A1905-F514-4f6f-8877-14C23A59335A}">
      <x14:table altTextSummary="Variance in employee costs per month is auto calculated in this table"/>
    </ext>
  </extLst>
</table>
</file>

<file path=xl/tables/table12.xml><?xml version="1.0" encoding="utf-8"?>
<table xmlns="http://schemas.openxmlformats.org/spreadsheetml/2006/main" id="10" name="OfficeVariances" displayName="OfficeVariances" ref="B10:O19" totalsRowCount="1" headerRowDxfId="122" totalsRowDxfId="119" headerRowBorderDxfId="121" tableBorderDxfId="120" totalsRowBorderDxfId="118">
  <autoFilter ref="B10: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Office Costs" totalsRowLabel="Subtotal" dataDxfId="117" totalsRowDxfId="116"/>
    <tableColumn id="2" name="Jan" totalsRowFunction="sum" dataDxfId="115" totalsRowDxfId="114">
      <calculatedColumnFormula>INDEX(OfficePlan[],MATCH(INDEX(OfficeVariances[],ROW()-ROW(OfficeVariances[[#Headers],[Jan]]),1),INDEX(OfficePlan[],,1),0),MATCH(OfficeVariances[[#Headers],[Jan]],OfficePlan[#Headers],0))-INDEX(OfficeActual[],MATCH(INDEX(OfficeVariances[],ROW()-ROW(OfficeVariances[[#Headers],[Jan]]),1),INDEX(OfficePlan[],,1),0),MATCH(OfficeVariances[[#Headers],[Jan]],OfficeActual[#Headers],0))</calculatedColumnFormula>
    </tableColumn>
    <tableColumn id="3" name="Feb" totalsRowFunction="sum" dataDxfId="113" totalsRowDxfId="112">
      <calculatedColumnFormula>INDEX(OfficePlan[],MATCH(INDEX(OfficeVariances[],ROW()-ROW(OfficeVariances[[#Headers],[Feb]]),1),INDEX(OfficePlan[],,1),0),MATCH(OfficeVariances[[#Headers],[Feb]],OfficePlan[#Headers],0))-INDEX(OfficeActual[],MATCH(INDEX(OfficeVariances[],ROW()-ROW(OfficeVariances[[#Headers],[Feb]]),1),INDEX(OfficePlan[],,1),0),MATCH(OfficeVariances[[#Headers],[Feb]],OfficeActual[#Headers],0))</calculatedColumnFormula>
    </tableColumn>
    <tableColumn id="4" name="Mar" totalsRowFunction="sum" dataDxfId="111" totalsRowDxfId="110">
      <calculatedColumnFormula>INDEX(OfficePlan[],MATCH(INDEX(OfficeVariances[],ROW()-ROW(OfficeVariances[[#Headers],[Mar]]),1),INDEX(OfficePlan[],,1),0),MATCH(OfficeVariances[[#Headers],[Mar]],OfficePlan[#Headers],0))-INDEX(OfficeActual[],MATCH(INDEX(OfficeVariances[],ROW()-ROW(OfficeVariances[[#Headers],[Mar]]),1),INDEX(OfficePlan[],,1),0),MATCH(OfficeVariances[[#Headers],[Mar]],OfficeActual[#Headers],0))</calculatedColumnFormula>
    </tableColumn>
    <tableColumn id="5" name="Apr" totalsRowFunction="sum" dataDxfId="109" totalsRowDxfId="108">
      <calculatedColumnFormula>INDEX(OfficePlan[],MATCH(INDEX(OfficeVariances[],ROW()-ROW(OfficeVariances[[#Headers],[Apr]]),1),INDEX(OfficePlan[],,1),0),MATCH(OfficeVariances[[#Headers],[Apr]],OfficePlan[#Headers],0))-INDEX(OfficeActual[],MATCH(INDEX(OfficeVariances[],ROW()-ROW(OfficeVariances[[#Headers],[Apr]]),1),INDEX(OfficePlan[],,1),0),MATCH(OfficeVariances[[#Headers],[Apr]],OfficeActual[#Headers],0))</calculatedColumnFormula>
    </tableColumn>
    <tableColumn id="6" name="May" totalsRowFunction="sum" dataDxfId="107" totalsRowDxfId="106">
      <calculatedColumnFormula>INDEX(OfficePlan[],MATCH(INDEX(OfficeVariances[],ROW()-ROW(OfficeVariances[[#Headers],[May]]),1),INDEX(OfficePlan[],,1),0),MATCH(OfficeVariances[[#Headers],[May]],OfficePlan[#Headers],0))-INDEX(OfficeActual[],MATCH(INDEX(OfficeVariances[],ROW()-ROW(OfficeVariances[[#Headers],[May]]),1),INDEX(OfficePlan[],,1),0),MATCH(OfficeVariances[[#Headers],[May]],OfficeActual[#Headers],0))</calculatedColumnFormula>
    </tableColumn>
    <tableColumn id="7" name="Jun" totalsRowFunction="sum" dataDxfId="105" totalsRowDxfId="104">
      <calculatedColumnFormula>INDEX(OfficePlan[],MATCH(INDEX(OfficeVariances[],ROW()-ROW(OfficeVariances[[#Headers],[Jun]]),1),INDEX(OfficePlan[],,1),0),MATCH(OfficeVariances[[#Headers],[Jun]],OfficePlan[#Headers],0))-INDEX(OfficeActual[],MATCH(INDEX(OfficeVariances[],ROW()-ROW(OfficeVariances[[#Headers],[Jun]]),1),INDEX(OfficePlan[],,1),0),MATCH(OfficeVariances[[#Headers],[Jun]],OfficeActual[#Headers],0))</calculatedColumnFormula>
    </tableColumn>
    <tableColumn id="8" name="Jul" totalsRowFunction="sum" dataDxfId="103" totalsRowDxfId="102">
      <calculatedColumnFormula>INDEX(OfficePlan[],MATCH(INDEX(OfficeVariances[],ROW()-ROW(OfficeVariances[[#Headers],[Jul]]),1),INDEX(OfficePlan[],,1),0),MATCH(OfficeVariances[[#Headers],[Jul]],OfficePlan[#Headers],0))-INDEX(OfficeActual[],MATCH(INDEX(OfficeVariances[],ROW()-ROW(OfficeVariances[[#Headers],[Jul]]),1),INDEX(OfficePlan[],,1),0),MATCH(OfficeVariances[[#Headers],[Jul]],OfficeActual[#Headers],0))</calculatedColumnFormula>
    </tableColumn>
    <tableColumn id="9" name="Aug" totalsRowFunction="sum" dataDxfId="101" totalsRowDxfId="100">
      <calculatedColumnFormula>INDEX(OfficePlan[],MATCH(INDEX(OfficeVariances[],ROW()-ROW(OfficeVariances[[#Headers],[Aug]]),1),INDEX(OfficePlan[],,1),0),MATCH(OfficeVariances[[#Headers],[Aug]],OfficePlan[#Headers],0))-INDEX(OfficeActual[],MATCH(INDEX(OfficeVariances[],ROW()-ROW(OfficeVariances[[#Headers],[Aug]]),1),INDEX(OfficePlan[],,1),0),MATCH(OfficeVariances[[#Headers],[Aug]],OfficeActual[#Headers],0))</calculatedColumnFormula>
    </tableColumn>
    <tableColumn id="10" name="Sep" totalsRowFunction="sum" dataDxfId="99" totalsRowDxfId="98">
      <calculatedColumnFormula>INDEX(OfficePlan[],MATCH(INDEX(OfficeVariances[],ROW()-ROW(OfficeVariances[[#Headers],[Sep]]),1),INDEX(OfficePlan[],,1),0),MATCH(OfficeVariances[[#Headers],[Sep]],OfficePlan[#Headers],0))-INDEX(OfficeActual[],MATCH(INDEX(OfficeVariances[],ROW()-ROW(OfficeVariances[[#Headers],[Sep]]),1),INDEX(OfficePlan[],,1),0),MATCH(OfficeVariances[[#Headers],[Sep]],OfficeActual[#Headers],0))</calculatedColumnFormula>
    </tableColumn>
    <tableColumn id="11" name="Oct" totalsRowFunction="sum" dataDxfId="97" totalsRowDxfId="96">
      <calculatedColumnFormula>INDEX(OfficePlan[],MATCH(INDEX(OfficeVariances[],ROW()-ROW(OfficeVariances[[#Headers],[Oct]]),1),INDEX(OfficePlan[],,1),0),MATCH(OfficeVariances[[#Headers],[Oct]],OfficePlan[#Headers],0))-INDEX(OfficeActual[],MATCH(INDEX(OfficeVariances[],ROW()-ROW(OfficeVariances[[#Headers],[Oct]]),1),INDEX(OfficePlan[],,1),0),MATCH(OfficeVariances[[#Headers],[Oct]],OfficeActual[#Headers],0))</calculatedColumnFormula>
    </tableColumn>
    <tableColumn id="12" name="Nov" totalsRowFunction="sum" dataDxfId="95" totalsRowDxfId="94">
      <calculatedColumnFormula>INDEX(OfficePlan[],MATCH(INDEX(OfficeVariances[],ROW()-ROW(OfficeVariances[[#Headers],[Nov]]),1),INDEX(OfficePlan[],,1),0),MATCH(OfficeVariances[[#Headers],[Nov]],OfficePlan[#Headers],0))-INDEX(OfficeActual[],MATCH(INDEX(OfficeVariances[],ROW()-ROW(OfficeVariances[[#Headers],[Nov]]),1),INDEX(OfficePlan[],,1),0),MATCH(OfficeVariances[[#Headers],[Nov]],OfficeActual[#Headers],0))</calculatedColumnFormula>
    </tableColumn>
    <tableColumn id="13" name="Dec" totalsRowFunction="sum" dataDxfId="93" totalsRowDxfId="92">
      <calculatedColumnFormula>INDEX(OfficePlan[],MATCH(INDEX(OfficeVariances[],ROW()-ROW(OfficeVariances[[#Headers],[Dec]]),1),INDEX(OfficePlan[],,1),0),MATCH(OfficeVariances[[#Headers],[Dec]],OfficePlan[#Headers],0))-INDEX(OfficeActual[],MATCH(INDEX(OfficeVariances[],ROW()-ROW(OfficeVariances[[#Headers],[Dec]]),1),INDEX(OfficePlan[],,1),0),MATCH(OfficeVariances[[#Headers],[Dec]],OfficeActual[#Headers],0))</calculatedColumnFormula>
    </tableColumn>
    <tableColumn id="14" name="YEAR" totalsRowFunction="sum" dataDxfId="91" totalsRowDxfId="90">
      <calculatedColumnFormula>SUM(OfficeVariances[[#This Row],[Jan]:[Dec]])</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Variance in office costs per month is auto calculated in this table"/>
    </ext>
  </extLst>
</table>
</file>

<file path=xl/tables/table13.xml><?xml version="1.0" encoding="utf-8"?>
<table xmlns="http://schemas.openxmlformats.org/spreadsheetml/2006/main" id="11" name="MarketingVariances" displayName="MarketingVariances" ref="B21:O28" totalsRowCount="1" headerRowDxfId="89" totalsRowDxfId="86" headerRowBorderDxfId="88" tableBorderDxfId="87" totalsRowBorderDxfId="85">
  <autoFilter ref="B21:O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arketing Costs" totalsRowLabel="Subtotal" dataDxfId="84" totalsRowDxfId="83"/>
    <tableColumn id="2" name="Jan" totalsRowFunction="sum" dataDxfId="82" totalsRowDxfId="81">
      <calculatedColumnFormula>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calculatedColumnFormula>
    </tableColumn>
    <tableColumn id="3" name="Feb" totalsRowFunction="sum" dataDxfId="80" totalsRowDxfId="79">
      <calculatedColumnFormula>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calculatedColumnFormula>
    </tableColumn>
    <tableColumn id="4" name="Mar" totalsRowFunction="sum" dataDxfId="78" totalsRowDxfId="77">
      <calculatedColumnFormula>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calculatedColumnFormula>
    </tableColumn>
    <tableColumn id="5" name="Apr" totalsRowFunction="sum" dataDxfId="76" totalsRowDxfId="75">
      <calculatedColumnFormula>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calculatedColumnFormula>
    </tableColumn>
    <tableColumn id="6" name="May" totalsRowFunction="sum" dataDxfId="74" totalsRowDxfId="73">
      <calculatedColumnFormula>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calculatedColumnFormula>
    </tableColumn>
    <tableColumn id="7" name="Jun" totalsRowFunction="sum" dataDxfId="72" totalsRowDxfId="71">
      <calculatedColumnFormula>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calculatedColumnFormula>
    </tableColumn>
    <tableColumn id="8" name="Jul" totalsRowFunction="sum" dataDxfId="70" totalsRowDxfId="69">
      <calculatedColumnFormula>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calculatedColumnFormula>
    </tableColumn>
    <tableColumn id="9" name="Aug" totalsRowFunction="sum" dataDxfId="68" totalsRowDxfId="67">
      <calculatedColumnFormula>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calculatedColumnFormula>
    </tableColumn>
    <tableColumn id="10" name="Sep" totalsRowFunction="sum" dataDxfId="66" totalsRowDxfId="65">
      <calculatedColumnFormula>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calculatedColumnFormula>
    </tableColumn>
    <tableColumn id="11" name="Oct" totalsRowFunction="sum" dataDxfId="64" totalsRowDxfId="63">
      <calculatedColumnFormula>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calculatedColumnFormula>
    </tableColumn>
    <tableColumn id="12" name="Nov" totalsRowFunction="sum" dataDxfId="62" totalsRowDxfId="61">
      <calculatedColumnFormula>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calculatedColumnFormula>
    </tableColumn>
    <tableColumn id="13" name="Dec" totalsRowFunction="sum" dataDxfId="60" totalsRowDxfId="59">
      <calculatedColumnFormula>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calculatedColumnFormula>
    </tableColumn>
    <tableColumn id="14" name="YEAR" totalsRowFunction="sum" dataDxfId="58" totalsRowDxfId="57">
      <calculatedColumnFormula>SUM(MarketingVariances[[#This Row],[Jan]:[Dec]])</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Variance in marketing costs per month is auto calculated in this table"/>
    </ext>
  </extLst>
</table>
</file>

<file path=xl/tables/table14.xml><?xml version="1.0" encoding="utf-8"?>
<table xmlns="http://schemas.openxmlformats.org/spreadsheetml/2006/main" id="12" name="TrainingAndTravelVariances" displayName="TrainingAndTravelVariances" ref="B30:O33" totalsRowCount="1" headerRowDxfId="56" totalsRowDxfId="53" headerRowBorderDxfId="55" tableBorderDxfId="54" totalsRowBorderDxfId="52">
  <autoFilter ref="B30:O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raining/Travel" totalsRowLabel="Subtotal" dataDxfId="51" totalsRowDxfId="50"/>
    <tableColumn id="2" name="Jan" totalsRowFunction="sum" dataDxfId="49" totalsRowDxfId="48">
      <calculatedColumnFormula>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calculatedColumnFormula>
    </tableColumn>
    <tableColumn id="3" name="Feb" totalsRowFunction="sum" dataDxfId="47" totalsRowDxfId="46">
      <calculatedColumnFormula>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calculatedColumnFormula>
    </tableColumn>
    <tableColumn id="4" name="Mar" totalsRowFunction="sum" dataDxfId="45" totalsRowDxfId="44">
      <calculatedColumnFormula>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calculatedColumnFormula>
    </tableColumn>
    <tableColumn id="5" name="Apr" totalsRowFunction="sum" dataDxfId="43" totalsRowDxfId="42">
      <calculatedColumnFormula>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calculatedColumnFormula>
    </tableColumn>
    <tableColumn id="6" name="May" totalsRowFunction="sum" dataDxfId="41" totalsRowDxfId="40">
      <calculatedColumnFormula>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calculatedColumnFormula>
    </tableColumn>
    <tableColumn id="7" name="Jun" totalsRowFunction="sum" dataDxfId="39" totalsRowDxfId="38">
      <calculatedColumnFormula>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calculatedColumnFormula>
    </tableColumn>
    <tableColumn id="8" name="Jul" totalsRowFunction="sum" dataDxfId="37" totalsRowDxfId="36">
      <calculatedColumnFormula>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calculatedColumnFormula>
    </tableColumn>
    <tableColumn id="9" name="Aug" totalsRowFunction="sum" dataDxfId="35" totalsRowDxfId="34">
      <calculatedColumnFormula>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calculatedColumnFormula>
    </tableColumn>
    <tableColumn id="10" name="Sep" totalsRowFunction="sum" dataDxfId="33" totalsRowDxfId="32">
      <calculatedColumnFormula>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calculatedColumnFormula>
    </tableColumn>
    <tableColumn id="11" name="Oct" totalsRowFunction="sum" dataDxfId="31" totalsRowDxfId="30">
      <calculatedColumnFormula>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calculatedColumnFormula>
    </tableColumn>
    <tableColumn id="12" name="Nov" totalsRowFunction="sum" dataDxfId="29" totalsRowDxfId="28">
      <calculatedColumnFormula>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calculatedColumnFormula>
    </tableColumn>
    <tableColumn id="13" name="Dec" totalsRowFunction="sum" dataDxfId="27" totalsRowDxfId="26">
      <calculatedColumnFormula>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calculatedColumnFormula>
    </tableColumn>
    <tableColumn id="14" name="YEAR" totalsRowFunction="sum" dataDxfId="25" totalsRowDxfId="24">
      <calculatedColumnFormula>SUM(TrainingAndTravelVariances[[#This Row],[Jan]:[Dec]])</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Variance in training and travel costs per month is auto calculated in this table"/>
    </ext>
  </extLst>
</table>
</file>

<file path=xl/tables/table15.xml><?xml version="1.0" encoding="utf-8"?>
<table xmlns="http://schemas.openxmlformats.org/spreadsheetml/2006/main" id="16" name="TotalVariances" displayName="TotalVariances" ref="B35:O37" totalsRowShown="0" headerRowDxfId="23" dataDxfId="22" tableBorderDxfId="21" headerRowCellStyle="Heading 3">
  <autoFilter ref="B35:O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TOTALS" dataDxfId="20"/>
    <tableColumn id="2" name="Jan" dataDxfId="19">
      <calculatedColumnFormula>SUM($C35:C$36)</calculatedColumnFormula>
    </tableColumn>
    <tableColumn id="3" name="Feb" dataDxfId="18">
      <calculatedColumnFormula>SUM($C35:D$36)</calculatedColumnFormula>
    </tableColumn>
    <tableColumn id="4" name="Mar" dataDxfId="17">
      <calculatedColumnFormula>SUM($C35:E$36)</calculatedColumnFormula>
    </tableColumn>
    <tableColumn id="5" name="Apr" dataDxfId="16">
      <calculatedColumnFormula>SUM($C35:F$36)</calculatedColumnFormula>
    </tableColumn>
    <tableColumn id="6" name="May" dataDxfId="15">
      <calculatedColumnFormula>SUM($C35:G$36)</calculatedColumnFormula>
    </tableColumn>
    <tableColumn id="7" name="Jun" dataDxfId="14">
      <calculatedColumnFormula>SUM($C35:H$36)</calculatedColumnFormula>
    </tableColumn>
    <tableColumn id="8" name="Jul" dataDxfId="13">
      <calculatedColumnFormula>SUM($C35:I$36)</calculatedColumnFormula>
    </tableColumn>
    <tableColumn id="9" name="Aug" dataDxfId="12">
      <calculatedColumnFormula>SUM($C35:J$36)</calculatedColumnFormula>
    </tableColumn>
    <tableColumn id="10" name="Sep" dataDxfId="11">
      <calculatedColumnFormula>SUM($C35:K$36)</calculatedColumnFormula>
    </tableColumn>
    <tableColumn id="11" name="Oct" dataDxfId="10">
      <calculatedColumnFormula>SUM($C35:L$36)</calculatedColumnFormula>
    </tableColumn>
    <tableColumn id="12" name="Nov" dataDxfId="9">
      <calculatedColumnFormula>SUM($C35:M$36)</calculatedColumnFormula>
    </tableColumn>
    <tableColumn id="13" name="Dec" dataDxfId="8">
      <calculatedColumnFormula>SUM($C35:N$36)</calculatedColumnFormula>
    </tableColumn>
    <tableColumn id="14" name="Year" dataDxfId="7"/>
  </tableColumns>
  <tableStyleInfo showFirstColumn="1" showLastColumn="0" showRowStripes="0" showColumnStripes="0"/>
  <extLst>
    <ext xmlns:x14="http://schemas.microsoft.com/office/spreadsheetml/2009/9/main" uri="{504A1905-F514-4f6f-8877-14C23A59335A}">
      <x14:table altTextSummary="Monthly and Total Expense Variance are auto calculated in this table"/>
    </ext>
  </extLst>
</table>
</file>

<file path=xl/tables/table16.xml><?xml version="1.0" encoding="utf-8"?>
<table xmlns="http://schemas.openxmlformats.org/spreadsheetml/2006/main" id="13" name="Analysis" displayName="Analysis" ref="B5:F10" totalsRowShown="0" dataDxfId="6" tableBorderDxfId="5">
  <autoFilter ref="B5:F10">
    <filterColumn colId="0" hiddenButton="1"/>
    <filterColumn colId="1" hiddenButton="1"/>
    <filterColumn colId="2" hiddenButton="1"/>
    <filterColumn colId="3" hiddenButton="1"/>
    <filterColumn colId="4" hiddenButton="1"/>
  </autoFilter>
  <tableColumns count="5">
    <tableColumn id="1" name="Expense Category" dataDxfId="4"/>
    <tableColumn id="2" name="Planned Expenses" dataDxfId="3"/>
    <tableColumn id="3" name="Actual Expenses" dataDxfId="2"/>
    <tableColumn id="4" name="Expense Variances" dataDxfId="1">
      <calculatedColumnFormula>C6-D6</calculatedColumnFormula>
    </tableColumn>
    <tableColumn id="5" name="Variance Percentage" dataDxfId="0">
      <calculatedColumnFormula>E6/C6</calculatedColumnFormula>
    </tableColumn>
  </tableColumns>
  <tableStyleInfo showFirstColumn="1" showLastColumn="0" showRowStripes="0" showColumnStripes="0"/>
</table>
</file>

<file path=xl/theme/theme1.xml><?xml version="1.0" encoding="utf-8"?>
<a:theme xmlns:a="http://schemas.openxmlformats.org/drawingml/2006/main" name="Office Theme">
  <a:themeElements>
    <a:clrScheme name="Foundry">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Custom 18">
      <a:majorFont>
        <a:latin typeface="Franklin Gothic Book"/>
        <a:ea typeface=""/>
        <a:cs typeface=""/>
      </a:majorFont>
      <a:minorFont>
        <a:latin typeface="Microsoft Sans Serif"/>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3" tint="-0.249977111117893"/>
  </sheetPr>
  <dimension ref="B1:B8"/>
  <sheetViews>
    <sheetView workbookViewId="0"/>
  </sheetViews>
  <sheetFormatPr defaultRowHeight="12.75"/>
  <cols>
    <col min="1" max="1" width="2.7109375" customWidth="1"/>
    <col min="2" max="2" width="75.42578125" customWidth="1"/>
    <col min="3" max="3" width="2.7109375" customWidth="1"/>
  </cols>
  <sheetData>
    <row r="1" spans="2:2" s="42" customFormat="1" ht="30" customHeight="1">
      <c r="B1" s="43" t="s">
        <v>67</v>
      </c>
    </row>
    <row r="2" spans="2:2" ht="36.75" customHeight="1">
      <c r="B2" s="55" t="s">
        <v>68</v>
      </c>
    </row>
    <row r="3" spans="2:2" ht="30" customHeight="1">
      <c r="B3" s="55" t="s">
        <v>69</v>
      </c>
    </row>
    <row r="4" spans="2:2" ht="40.5" customHeight="1">
      <c r="B4" s="55" t="s">
        <v>70</v>
      </c>
    </row>
    <row r="5" spans="2:2" ht="36" customHeight="1">
      <c r="B5" s="55" t="s">
        <v>71</v>
      </c>
    </row>
    <row r="6" spans="2:2" ht="36" customHeight="1">
      <c r="B6" s="57" t="s">
        <v>72</v>
      </c>
    </row>
    <row r="7" spans="2:2" ht="53.25" customHeight="1">
      <c r="B7" s="55" t="s">
        <v>73</v>
      </c>
    </row>
    <row r="8" spans="2:2" ht="40.5" customHeight="1">
      <c r="B8" s="56" t="s">
        <v>74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tabColor theme="5"/>
    <pageSetUpPr autoPageBreaks="0"/>
  </sheetPr>
  <dimension ref="A1:T38"/>
  <sheetViews>
    <sheetView showGridLines="0" tabSelected="1" workbookViewId="0">
      <selection activeCell="B2" sqref="B2:D3"/>
    </sheetView>
  </sheetViews>
  <sheetFormatPr defaultColWidth="9.140625" defaultRowHeight="21" customHeight="1"/>
  <cols>
    <col min="1" max="1" width="4.7109375" style="1" customWidth="1"/>
    <col min="2" max="2" width="33.42578125" style="1" customWidth="1"/>
    <col min="3" max="14" width="14.28515625" style="1" customWidth="1"/>
    <col min="15" max="15" width="16.28515625" style="1" customWidth="1"/>
    <col min="16" max="16" width="4.7109375" style="1" customWidth="1"/>
    <col min="17" max="17" width="1.7109375" style="1" customWidth="1"/>
    <col min="18" max="19" width="9.140625" style="1"/>
    <col min="20" max="20" width="11.140625" style="1" customWidth="1"/>
    <col min="21" max="16384" width="9.140625" style="1"/>
  </cols>
  <sheetData>
    <row r="1" spans="1:20" ht="24" customHeight="1">
      <c r="A1" s="46" t="s">
        <v>75</v>
      </c>
      <c r="B1" s="11"/>
      <c r="C1" s="11"/>
      <c r="D1" s="11"/>
      <c r="E1" s="11"/>
      <c r="F1" s="8"/>
      <c r="G1" s="8"/>
      <c r="H1" s="8"/>
      <c r="I1" s="8"/>
      <c r="J1" s="8"/>
      <c r="K1" s="8"/>
      <c r="L1" s="8"/>
      <c r="M1" s="8"/>
      <c r="N1" s="8"/>
      <c r="O1" s="8"/>
      <c r="P1" s="94" t="s">
        <v>47</v>
      </c>
    </row>
    <row r="2" spans="1:20" ht="45" customHeight="1">
      <c r="A2" s="44" t="s">
        <v>76</v>
      </c>
      <c r="B2" s="127" t="s">
        <v>49</v>
      </c>
      <c r="C2" s="127"/>
      <c r="D2" s="127"/>
      <c r="E2" s="12"/>
      <c r="F2" s="9"/>
      <c r="G2" s="9"/>
      <c r="H2" s="9"/>
      <c r="I2" s="9"/>
      <c r="J2" s="9"/>
      <c r="K2" s="124" t="s">
        <v>0</v>
      </c>
      <c r="L2" s="124"/>
      <c r="M2" s="124"/>
      <c r="N2" s="123" t="s">
        <v>66</v>
      </c>
      <c r="O2" s="123"/>
      <c r="P2" s="8"/>
    </row>
    <row r="3" spans="1:20" ht="30" customHeight="1">
      <c r="A3" s="44" t="s">
        <v>83</v>
      </c>
      <c r="B3" s="127"/>
      <c r="C3" s="127"/>
      <c r="D3" s="127"/>
      <c r="E3" s="13"/>
      <c r="F3" s="10"/>
      <c r="G3" s="10"/>
      <c r="H3" s="10"/>
      <c r="I3" s="10"/>
      <c r="J3" s="10"/>
      <c r="K3" s="128" t="s">
        <v>48</v>
      </c>
      <c r="L3" s="128"/>
      <c r="M3" s="128"/>
      <c r="N3" s="123"/>
      <c r="O3" s="123"/>
      <c r="P3" s="8"/>
    </row>
    <row r="4" spans="1:20" s="14" customFormat="1" ht="49.5" customHeight="1">
      <c r="A4" s="45" t="s">
        <v>84</v>
      </c>
      <c r="B4" s="30" t="s">
        <v>50</v>
      </c>
      <c r="C4" s="31" t="s">
        <v>51</v>
      </c>
      <c r="D4" s="31" t="s">
        <v>52</v>
      </c>
      <c r="E4" s="32" t="s">
        <v>53</v>
      </c>
      <c r="F4" s="31" t="s">
        <v>54</v>
      </c>
      <c r="G4" s="31" t="s">
        <v>55</v>
      </c>
      <c r="H4" s="31" t="s">
        <v>56</v>
      </c>
      <c r="I4" s="32" t="s">
        <v>57</v>
      </c>
      <c r="J4" s="31" t="s">
        <v>58</v>
      </c>
      <c r="K4" s="31" t="s">
        <v>59</v>
      </c>
      <c r="L4" s="31" t="s">
        <v>60</v>
      </c>
      <c r="M4" s="31" t="s">
        <v>61</v>
      </c>
      <c r="N4" s="32" t="s">
        <v>62</v>
      </c>
      <c r="O4" s="31" t="s">
        <v>14</v>
      </c>
      <c r="R4" s="121" t="s">
        <v>82</v>
      </c>
      <c r="S4" s="122"/>
      <c r="T4" s="122"/>
    </row>
    <row r="5" spans="1:20" ht="24.95" customHeight="1" thickBot="1">
      <c r="A5" s="45" t="s">
        <v>85</v>
      </c>
      <c r="B5" s="58" t="s">
        <v>15</v>
      </c>
      <c r="C5" s="92" t="s">
        <v>2</v>
      </c>
      <c r="D5" s="89" t="s">
        <v>3</v>
      </c>
      <c r="E5" s="90" t="s">
        <v>4</v>
      </c>
      <c r="F5" s="89" t="s">
        <v>5</v>
      </c>
      <c r="G5" s="89" t="s">
        <v>6</v>
      </c>
      <c r="H5" s="89" t="s">
        <v>7</v>
      </c>
      <c r="I5" s="89" t="s">
        <v>8</v>
      </c>
      <c r="J5" s="89" t="s">
        <v>9</v>
      </c>
      <c r="K5" s="89" t="s">
        <v>10</v>
      </c>
      <c r="L5" s="89" t="s">
        <v>11</v>
      </c>
      <c r="M5" s="89" t="s">
        <v>12</v>
      </c>
      <c r="N5" s="89" t="s">
        <v>13</v>
      </c>
      <c r="O5" s="91" t="s">
        <v>14</v>
      </c>
      <c r="R5" s="122"/>
      <c r="S5" s="122"/>
      <c r="T5" s="122"/>
    </row>
    <row r="6" spans="1:20" ht="24.95" customHeight="1" thickBot="1">
      <c r="A6" s="45"/>
      <c r="B6" s="59" t="s">
        <v>16</v>
      </c>
      <c r="C6" s="68">
        <v>85000</v>
      </c>
      <c r="D6" s="61">
        <v>85000</v>
      </c>
      <c r="E6" s="61">
        <v>85000</v>
      </c>
      <c r="F6" s="61">
        <v>87500</v>
      </c>
      <c r="G6" s="61">
        <v>87500</v>
      </c>
      <c r="H6" s="61">
        <v>87500</v>
      </c>
      <c r="I6" s="61">
        <v>87500</v>
      </c>
      <c r="J6" s="61">
        <v>92400</v>
      </c>
      <c r="K6" s="61">
        <v>92400</v>
      </c>
      <c r="L6" s="61">
        <v>92400</v>
      </c>
      <c r="M6" s="61">
        <v>92400</v>
      </c>
      <c r="N6" s="61">
        <v>92400</v>
      </c>
      <c r="O6" s="79">
        <f>SUM(C6:N6)</f>
        <v>1067000</v>
      </c>
      <c r="R6" s="122"/>
      <c r="S6" s="122"/>
      <c r="T6" s="122"/>
    </row>
    <row r="7" spans="1:20" ht="24.95" customHeight="1" thickBot="1">
      <c r="A7" s="45"/>
      <c r="B7" s="59" t="s">
        <v>17</v>
      </c>
      <c r="C7" s="68">
        <f t="shared" ref="C7:N7" si="0">C6*0.27</f>
        <v>22950</v>
      </c>
      <c r="D7" s="61">
        <f t="shared" si="0"/>
        <v>22950</v>
      </c>
      <c r="E7" s="61">
        <f t="shared" si="0"/>
        <v>22950</v>
      </c>
      <c r="F7" s="61">
        <f t="shared" si="0"/>
        <v>23625</v>
      </c>
      <c r="G7" s="61">
        <f t="shared" si="0"/>
        <v>23625</v>
      </c>
      <c r="H7" s="61">
        <f t="shared" si="0"/>
        <v>23625</v>
      </c>
      <c r="I7" s="61">
        <f t="shared" si="0"/>
        <v>23625</v>
      </c>
      <c r="J7" s="61">
        <f t="shared" si="0"/>
        <v>24948</v>
      </c>
      <c r="K7" s="61">
        <f t="shared" si="0"/>
        <v>24948</v>
      </c>
      <c r="L7" s="61">
        <f t="shared" si="0"/>
        <v>24948</v>
      </c>
      <c r="M7" s="61">
        <f t="shared" si="0"/>
        <v>24948</v>
      </c>
      <c r="N7" s="61">
        <f t="shared" si="0"/>
        <v>24948</v>
      </c>
      <c r="O7" s="79">
        <f>SUM(C7:N7)</f>
        <v>288090</v>
      </c>
      <c r="R7" s="122"/>
      <c r="S7" s="122"/>
      <c r="T7" s="122"/>
    </row>
    <row r="8" spans="1:20" ht="24.95" customHeight="1">
      <c r="A8" s="45"/>
      <c r="B8" s="60" t="s">
        <v>18</v>
      </c>
      <c r="C8" s="69">
        <f>SUBTOTAL(109,[Jan])</f>
        <v>107950</v>
      </c>
      <c r="D8" s="67">
        <f>SUBTOTAL(109,[Feb])</f>
        <v>107950</v>
      </c>
      <c r="E8" s="67">
        <f>SUBTOTAL(109,[Mar])</f>
        <v>107950</v>
      </c>
      <c r="F8" s="67">
        <f>SUBTOTAL(109,[Apr])</f>
        <v>111125</v>
      </c>
      <c r="G8" s="67">
        <f>SUBTOTAL(109,[May])</f>
        <v>111125</v>
      </c>
      <c r="H8" s="67">
        <f>SUBTOTAL(109,[Jun])</f>
        <v>111125</v>
      </c>
      <c r="I8" s="67">
        <f>SUBTOTAL(109,[Jul])</f>
        <v>111125</v>
      </c>
      <c r="J8" s="67">
        <f>SUBTOTAL(109,[Aug])</f>
        <v>117348</v>
      </c>
      <c r="K8" s="67">
        <f>SUBTOTAL(109,[Sep])</f>
        <v>117348</v>
      </c>
      <c r="L8" s="67">
        <f>SUBTOTAL(109,[Oct])</f>
        <v>117348</v>
      </c>
      <c r="M8" s="67">
        <f>SUBTOTAL(109,[Nov])</f>
        <v>117348</v>
      </c>
      <c r="N8" s="67">
        <f>SUBTOTAL(109,[Dec])</f>
        <v>117348</v>
      </c>
      <c r="O8" s="83">
        <f>SUBTOTAL(109,[YEAR])</f>
        <v>1355090</v>
      </c>
      <c r="R8" s="122"/>
      <c r="S8" s="122"/>
      <c r="T8" s="122"/>
    </row>
    <row r="9" spans="1:20" ht="21" customHeight="1" thickBot="1">
      <c r="A9" s="45"/>
      <c r="B9" s="125"/>
      <c r="C9" s="125"/>
      <c r="D9" s="3"/>
      <c r="E9" s="3"/>
      <c r="F9" s="3"/>
      <c r="G9" s="3"/>
      <c r="H9" s="3"/>
      <c r="I9" s="3"/>
      <c r="J9" s="3"/>
      <c r="K9" s="3"/>
      <c r="L9" s="3"/>
      <c r="M9" s="3"/>
      <c r="N9" s="3"/>
      <c r="O9" s="4"/>
      <c r="R9" s="122"/>
      <c r="S9" s="122"/>
      <c r="T9" s="122"/>
    </row>
    <row r="10" spans="1:20" ht="24.95" customHeight="1" thickBot="1">
      <c r="A10" s="45" t="s">
        <v>86</v>
      </c>
      <c r="B10" s="75" t="s">
        <v>19</v>
      </c>
      <c r="C10" s="71" t="s">
        <v>2</v>
      </c>
      <c r="D10" s="72" t="s">
        <v>3</v>
      </c>
      <c r="E10" s="73" t="s">
        <v>4</v>
      </c>
      <c r="F10" s="72" t="s">
        <v>5</v>
      </c>
      <c r="G10" s="72" t="s">
        <v>6</v>
      </c>
      <c r="H10" s="72" t="s">
        <v>7</v>
      </c>
      <c r="I10" s="72" t="s">
        <v>8</v>
      </c>
      <c r="J10" s="72" t="s">
        <v>9</v>
      </c>
      <c r="K10" s="72" t="s">
        <v>10</v>
      </c>
      <c r="L10" s="72" t="s">
        <v>11</v>
      </c>
      <c r="M10" s="72" t="s">
        <v>12</v>
      </c>
      <c r="N10" s="72" t="s">
        <v>13</v>
      </c>
      <c r="O10" s="74" t="s">
        <v>14</v>
      </c>
      <c r="R10" s="122"/>
      <c r="S10" s="122"/>
      <c r="T10" s="122"/>
    </row>
    <row r="11" spans="1:20" ht="24.95" customHeight="1" thickBot="1">
      <c r="A11" s="45"/>
      <c r="B11" s="118" t="s">
        <v>20</v>
      </c>
      <c r="C11" s="68">
        <v>9800</v>
      </c>
      <c r="D11" s="61">
        <v>9800</v>
      </c>
      <c r="E11" s="61">
        <v>9800</v>
      </c>
      <c r="F11" s="61">
        <v>9800</v>
      </c>
      <c r="G11" s="61">
        <v>9800</v>
      </c>
      <c r="H11" s="61">
        <v>9800</v>
      </c>
      <c r="I11" s="61">
        <v>9800</v>
      </c>
      <c r="J11" s="61">
        <v>9800</v>
      </c>
      <c r="K11" s="61">
        <v>9800</v>
      </c>
      <c r="L11" s="61">
        <v>9800</v>
      </c>
      <c r="M11" s="61">
        <v>9800</v>
      </c>
      <c r="N11" s="61">
        <v>9800</v>
      </c>
      <c r="O11" s="79">
        <f t="shared" ref="O11:O18" si="1">SUM(C11:N11)</f>
        <v>117600</v>
      </c>
      <c r="R11" s="122"/>
      <c r="S11" s="122"/>
      <c r="T11" s="122"/>
    </row>
    <row r="12" spans="1:20" ht="24.95" customHeight="1" thickBot="1">
      <c r="A12" s="45"/>
      <c r="B12" s="118" t="s">
        <v>21</v>
      </c>
      <c r="C12" s="68"/>
      <c r="D12" s="61">
        <v>400</v>
      </c>
      <c r="E12" s="61">
        <v>400</v>
      </c>
      <c r="F12" s="61">
        <v>100</v>
      </c>
      <c r="G12" s="61">
        <v>100</v>
      </c>
      <c r="H12" s="61">
        <v>100</v>
      </c>
      <c r="I12" s="61">
        <v>100</v>
      </c>
      <c r="J12" s="61">
        <v>100</v>
      </c>
      <c r="K12" s="61">
        <v>100</v>
      </c>
      <c r="L12" s="61">
        <v>100</v>
      </c>
      <c r="M12" s="61">
        <v>400</v>
      </c>
      <c r="N12" s="61">
        <v>400</v>
      </c>
      <c r="O12" s="79">
        <f t="shared" si="1"/>
        <v>2300</v>
      </c>
      <c r="R12" s="122"/>
      <c r="S12" s="122"/>
      <c r="T12" s="122"/>
    </row>
    <row r="13" spans="1:20" ht="24.95" customHeight="1" thickBot="1">
      <c r="A13" s="45"/>
      <c r="B13" s="118" t="s">
        <v>22</v>
      </c>
      <c r="C13" s="68">
        <v>300</v>
      </c>
      <c r="D13" s="61">
        <v>300</v>
      </c>
      <c r="E13" s="61">
        <v>300</v>
      </c>
      <c r="F13" s="61">
        <v>300</v>
      </c>
      <c r="G13" s="61">
        <v>300</v>
      </c>
      <c r="H13" s="61">
        <v>300</v>
      </c>
      <c r="I13" s="61">
        <v>300</v>
      </c>
      <c r="J13" s="61">
        <v>300</v>
      </c>
      <c r="K13" s="61">
        <v>300</v>
      </c>
      <c r="L13" s="61">
        <v>300</v>
      </c>
      <c r="M13" s="61">
        <v>300</v>
      </c>
      <c r="N13" s="61">
        <v>300</v>
      </c>
      <c r="O13" s="79">
        <f t="shared" si="1"/>
        <v>3600</v>
      </c>
      <c r="R13" s="122"/>
      <c r="S13" s="122"/>
      <c r="T13" s="122"/>
    </row>
    <row r="14" spans="1:20" ht="24.95" customHeight="1" thickBot="1">
      <c r="A14" s="45"/>
      <c r="B14" s="118" t="s">
        <v>23</v>
      </c>
      <c r="C14" s="68">
        <v>40</v>
      </c>
      <c r="D14" s="61">
        <v>40</v>
      </c>
      <c r="E14" s="61">
        <v>40</v>
      </c>
      <c r="F14" s="61">
        <v>40</v>
      </c>
      <c r="G14" s="61">
        <v>40</v>
      </c>
      <c r="H14" s="61">
        <v>40</v>
      </c>
      <c r="I14" s="61">
        <v>40</v>
      </c>
      <c r="J14" s="61">
        <v>40</v>
      </c>
      <c r="K14" s="61">
        <v>40</v>
      </c>
      <c r="L14" s="61">
        <v>40</v>
      </c>
      <c r="M14" s="61">
        <v>40</v>
      </c>
      <c r="N14" s="61">
        <v>40</v>
      </c>
      <c r="O14" s="79">
        <f t="shared" si="1"/>
        <v>480</v>
      </c>
    </row>
    <row r="15" spans="1:20" ht="24.95" customHeight="1" thickBot="1">
      <c r="A15" s="45"/>
      <c r="B15" s="118" t="s">
        <v>24</v>
      </c>
      <c r="C15" s="68">
        <v>250</v>
      </c>
      <c r="D15" s="61">
        <v>250</v>
      </c>
      <c r="E15" s="61">
        <v>250</v>
      </c>
      <c r="F15" s="61">
        <v>250</v>
      </c>
      <c r="G15" s="61">
        <v>250</v>
      </c>
      <c r="H15" s="61">
        <v>250</v>
      </c>
      <c r="I15" s="61">
        <v>250</v>
      </c>
      <c r="J15" s="61">
        <v>250</v>
      </c>
      <c r="K15" s="61">
        <v>250</v>
      </c>
      <c r="L15" s="61">
        <v>250</v>
      </c>
      <c r="M15" s="61">
        <v>250</v>
      </c>
      <c r="N15" s="61">
        <v>250</v>
      </c>
      <c r="O15" s="79">
        <f t="shared" si="1"/>
        <v>3000</v>
      </c>
    </row>
    <row r="16" spans="1:20" ht="24.95" customHeight="1" thickBot="1">
      <c r="A16" s="45"/>
      <c r="B16" s="118" t="s">
        <v>25</v>
      </c>
      <c r="C16" s="68">
        <v>180</v>
      </c>
      <c r="D16" s="61">
        <v>180</v>
      </c>
      <c r="E16" s="61">
        <v>180</v>
      </c>
      <c r="F16" s="61">
        <v>180</v>
      </c>
      <c r="G16" s="61">
        <v>180</v>
      </c>
      <c r="H16" s="61">
        <v>180</v>
      </c>
      <c r="I16" s="61">
        <v>180</v>
      </c>
      <c r="J16" s="61">
        <v>180</v>
      </c>
      <c r="K16" s="61">
        <v>180</v>
      </c>
      <c r="L16" s="61">
        <v>180</v>
      </c>
      <c r="M16" s="61">
        <v>180</v>
      </c>
      <c r="N16" s="61">
        <v>180</v>
      </c>
      <c r="O16" s="79">
        <f t="shared" si="1"/>
        <v>2160</v>
      </c>
    </row>
    <row r="17" spans="1:15" ht="24.95" customHeight="1" thickBot="1">
      <c r="A17" s="45"/>
      <c r="B17" s="118" t="s">
        <v>26</v>
      </c>
      <c r="C17" s="68">
        <v>200</v>
      </c>
      <c r="D17" s="61">
        <v>200</v>
      </c>
      <c r="E17" s="61">
        <v>200</v>
      </c>
      <c r="F17" s="61">
        <v>200</v>
      </c>
      <c r="G17" s="61">
        <v>200</v>
      </c>
      <c r="H17" s="61">
        <v>200</v>
      </c>
      <c r="I17" s="61">
        <v>200</v>
      </c>
      <c r="J17" s="61">
        <v>200</v>
      </c>
      <c r="K17" s="61">
        <v>200</v>
      </c>
      <c r="L17" s="61">
        <v>200</v>
      </c>
      <c r="M17" s="61">
        <v>200</v>
      </c>
      <c r="N17" s="61">
        <v>200</v>
      </c>
      <c r="O17" s="79">
        <f t="shared" si="1"/>
        <v>2400</v>
      </c>
    </row>
    <row r="18" spans="1:15" ht="24.95" customHeight="1" thickBot="1">
      <c r="A18" s="45"/>
      <c r="B18" s="118" t="s">
        <v>27</v>
      </c>
      <c r="C18" s="68">
        <v>600</v>
      </c>
      <c r="D18" s="61">
        <v>600</v>
      </c>
      <c r="E18" s="61">
        <v>600</v>
      </c>
      <c r="F18" s="61">
        <v>600</v>
      </c>
      <c r="G18" s="61">
        <v>600</v>
      </c>
      <c r="H18" s="61">
        <v>600</v>
      </c>
      <c r="I18" s="61">
        <v>600</v>
      </c>
      <c r="J18" s="61">
        <v>600</v>
      </c>
      <c r="K18" s="61">
        <v>600</v>
      </c>
      <c r="L18" s="61">
        <v>600</v>
      </c>
      <c r="M18" s="61">
        <v>600</v>
      </c>
      <c r="N18" s="61">
        <v>600</v>
      </c>
      <c r="O18" s="79">
        <f t="shared" si="1"/>
        <v>7200</v>
      </c>
    </row>
    <row r="19" spans="1:15" ht="24.95" customHeight="1" thickBot="1">
      <c r="A19" s="45"/>
      <c r="B19" s="93" t="s">
        <v>18</v>
      </c>
      <c r="C19" s="76">
        <f>SUBTOTAL(109,[Jan])</f>
        <v>11370</v>
      </c>
      <c r="D19" s="77">
        <f>SUBTOTAL(109,[Feb])</f>
        <v>11770</v>
      </c>
      <c r="E19" s="77">
        <f>SUBTOTAL(109,[Mar])</f>
        <v>11770</v>
      </c>
      <c r="F19" s="77">
        <f>SUBTOTAL(109,[Apr])</f>
        <v>11470</v>
      </c>
      <c r="G19" s="77">
        <f>SUBTOTAL(109,[May])</f>
        <v>11470</v>
      </c>
      <c r="H19" s="77">
        <f>SUBTOTAL(109,[Jun])</f>
        <v>11470</v>
      </c>
      <c r="I19" s="77">
        <f>SUBTOTAL(109,[Jul])</f>
        <v>11470</v>
      </c>
      <c r="J19" s="77">
        <f>SUBTOTAL(109,[Aug])</f>
        <v>11470</v>
      </c>
      <c r="K19" s="77">
        <f>SUBTOTAL(109,[Sep])</f>
        <v>11470</v>
      </c>
      <c r="L19" s="77">
        <f>SUBTOTAL(109,[Oct])</f>
        <v>11470</v>
      </c>
      <c r="M19" s="77">
        <f>SUBTOTAL(109,[Nov])</f>
        <v>11770</v>
      </c>
      <c r="N19" s="77">
        <f>SUBTOTAL(109,[Dec])</f>
        <v>11770</v>
      </c>
      <c r="O19" s="78">
        <f>SUBTOTAL(109,[YEAR])</f>
        <v>138740</v>
      </c>
    </row>
    <row r="20" spans="1:15" ht="21" customHeight="1">
      <c r="A20" s="45"/>
      <c r="B20" s="126"/>
      <c r="C20" s="126"/>
      <c r="D20" s="3"/>
      <c r="E20" s="3"/>
      <c r="F20" s="5"/>
      <c r="G20" s="5"/>
      <c r="H20" s="5"/>
      <c r="I20" s="5"/>
      <c r="J20" s="5"/>
      <c r="K20" s="5"/>
      <c r="L20" s="5"/>
      <c r="M20" s="5"/>
      <c r="N20" s="5"/>
      <c r="O20" s="4"/>
    </row>
    <row r="21" spans="1:15" ht="24.95" customHeight="1" thickBot="1">
      <c r="A21" s="45" t="s">
        <v>87</v>
      </c>
      <c r="B21" s="80" t="s">
        <v>28</v>
      </c>
      <c r="C21" s="64" t="s">
        <v>2</v>
      </c>
      <c r="D21" s="64" t="s">
        <v>3</v>
      </c>
      <c r="E21" s="65" t="s">
        <v>4</v>
      </c>
      <c r="F21" s="64" t="s">
        <v>5</v>
      </c>
      <c r="G21" s="64" t="s">
        <v>6</v>
      </c>
      <c r="H21" s="64" t="s">
        <v>7</v>
      </c>
      <c r="I21" s="64" t="s">
        <v>8</v>
      </c>
      <c r="J21" s="64" t="s">
        <v>9</v>
      </c>
      <c r="K21" s="64" t="s">
        <v>10</v>
      </c>
      <c r="L21" s="64" t="s">
        <v>11</v>
      </c>
      <c r="M21" s="64" t="s">
        <v>12</v>
      </c>
      <c r="N21" s="64" t="s">
        <v>13</v>
      </c>
      <c r="O21" s="66" t="s">
        <v>14</v>
      </c>
    </row>
    <row r="22" spans="1:15" ht="24.95" customHeight="1" thickBot="1">
      <c r="A22" s="45"/>
      <c r="B22" s="59" t="s">
        <v>29</v>
      </c>
      <c r="C22" s="82">
        <v>500</v>
      </c>
      <c r="D22" s="81">
        <v>500</v>
      </c>
      <c r="E22" s="81">
        <v>500</v>
      </c>
      <c r="F22" s="81">
        <v>500</v>
      </c>
      <c r="G22" s="81">
        <v>500</v>
      </c>
      <c r="H22" s="81">
        <v>500</v>
      </c>
      <c r="I22" s="81">
        <v>500</v>
      </c>
      <c r="J22" s="81">
        <v>500</v>
      </c>
      <c r="K22" s="81">
        <v>500</v>
      </c>
      <c r="L22" s="81">
        <v>500</v>
      </c>
      <c r="M22" s="81">
        <v>500</v>
      </c>
      <c r="N22" s="81">
        <v>500</v>
      </c>
      <c r="O22" s="79">
        <f t="shared" ref="O22:O27" si="2">SUM(C22:N22)</f>
        <v>6000</v>
      </c>
    </row>
    <row r="23" spans="1:15" ht="24.95" customHeight="1" thickBot="1">
      <c r="A23" s="45"/>
      <c r="B23" s="59" t="s">
        <v>30</v>
      </c>
      <c r="C23" s="82">
        <v>200</v>
      </c>
      <c r="D23" s="81">
        <v>200</v>
      </c>
      <c r="E23" s="81">
        <v>200</v>
      </c>
      <c r="F23" s="81">
        <v>200</v>
      </c>
      <c r="G23" s="81">
        <v>200</v>
      </c>
      <c r="H23" s="81">
        <v>1000</v>
      </c>
      <c r="I23" s="81">
        <v>200</v>
      </c>
      <c r="J23" s="81">
        <v>200</v>
      </c>
      <c r="K23" s="81">
        <v>200</v>
      </c>
      <c r="L23" s="81">
        <v>200</v>
      </c>
      <c r="M23" s="81">
        <v>200</v>
      </c>
      <c r="N23" s="81">
        <v>1000</v>
      </c>
      <c r="O23" s="79">
        <f t="shared" si="2"/>
        <v>4000</v>
      </c>
    </row>
    <row r="24" spans="1:15" ht="24.95" customHeight="1" thickBot="1">
      <c r="A24" s="45"/>
      <c r="B24" s="59" t="s">
        <v>31</v>
      </c>
      <c r="C24" s="82">
        <v>5000</v>
      </c>
      <c r="D24" s="81">
        <v>0</v>
      </c>
      <c r="E24" s="81">
        <v>0</v>
      </c>
      <c r="F24" s="81">
        <v>5000</v>
      </c>
      <c r="G24" s="81">
        <v>0</v>
      </c>
      <c r="H24" s="81">
        <v>0</v>
      </c>
      <c r="I24" s="81">
        <v>5000</v>
      </c>
      <c r="J24" s="81">
        <v>0</v>
      </c>
      <c r="K24" s="81">
        <v>0</v>
      </c>
      <c r="L24" s="81">
        <v>5000</v>
      </c>
      <c r="M24" s="81">
        <v>0</v>
      </c>
      <c r="N24" s="81">
        <v>0</v>
      </c>
      <c r="O24" s="79">
        <f t="shared" si="2"/>
        <v>20000</v>
      </c>
    </row>
    <row r="25" spans="1:15" ht="24.95" customHeight="1" thickBot="1">
      <c r="A25" s="45"/>
      <c r="B25" s="59" t="s">
        <v>32</v>
      </c>
      <c r="C25" s="82">
        <v>200</v>
      </c>
      <c r="D25" s="81">
        <v>200</v>
      </c>
      <c r="E25" s="81">
        <v>200</v>
      </c>
      <c r="F25" s="81">
        <v>200</v>
      </c>
      <c r="G25" s="81">
        <v>200</v>
      </c>
      <c r="H25" s="81">
        <v>200</v>
      </c>
      <c r="I25" s="81">
        <v>200</v>
      </c>
      <c r="J25" s="81">
        <v>200</v>
      </c>
      <c r="K25" s="81">
        <v>200</v>
      </c>
      <c r="L25" s="81">
        <v>200</v>
      </c>
      <c r="M25" s="81">
        <v>200</v>
      </c>
      <c r="N25" s="81">
        <v>200</v>
      </c>
      <c r="O25" s="79">
        <f t="shared" si="2"/>
        <v>2400</v>
      </c>
    </row>
    <row r="26" spans="1:15" ht="24.95" customHeight="1" thickBot="1">
      <c r="A26" s="45"/>
      <c r="B26" s="59" t="s">
        <v>33</v>
      </c>
      <c r="C26" s="82">
        <v>2000</v>
      </c>
      <c r="D26" s="81">
        <v>2000</v>
      </c>
      <c r="E26" s="81">
        <v>2000</v>
      </c>
      <c r="F26" s="81">
        <v>5000</v>
      </c>
      <c r="G26" s="81">
        <v>2000</v>
      </c>
      <c r="H26" s="81">
        <v>2000</v>
      </c>
      <c r="I26" s="81">
        <v>2000</v>
      </c>
      <c r="J26" s="81">
        <v>5000</v>
      </c>
      <c r="K26" s="81">
        <v>2000</v>
      </c>
      <c r="L26" s="81">
        <v>2000</v>
      </c>
      <c r="M26" s="81">
        <v>2000</v>
      </c>
      <c r="N26" s="81">
        <v>5000</v>
      </c>
      <c r="O26" s="79">
        <f t="shared" si="2"/>
        <v>33000</v>
      </c>
    </row>
    <row r="27" spans="1:15" ht="24.95" customHeight="1" thickBot="1">
      <c r="A27" s="45"/>
      <c r="B27" s="59" t="s">
        <v>34</v>
      </c>
      <c r="C27" s="82">
        <v>200</v>
      </c>
      <c r="D27" s="81">
        <v>200</v>
      </c>
      <c r="E27" s="81">
        <v>200</v>
      </c>
      <c r="F27" s="81">
        <v>200</v>
      </c>
      <c r="G27" s="81">
        <v>200</v>
      </c>
      <c r="H27" s="81">
        <v>200</v>
      </c>
      <c r="I27" s="81">
        <v>200</v>
      </c>
      <c r="J27" s="81">
        <v>200</v>
      </c>
      <c r="K27" s="81">
        <v>200</v>
      </c>
      <c r="L27" s="81">
        <v>200</v>
      </c>
      <c r="M27" s="81">
        <v>200</v>
      </c>
      <c r="N27" s="81">
        <v>200</v>
      </c>
      <c r="O27" s="79">
        <f t="shared" si="2"/>
        <v>2400</v>
      </c>
    </row>
    <row r="28" spans="1:15" ht="24.95" customHeight="1">
      <c r="A28" s="45"/>
      <c r="B28" s="62" t="s">
        <v>18</v>
      </c>
      <c r="C28" s="69">
        <f>SUBTOTAL(109,[Jan])</f>
        <v>8100</v>
      </c>
      <c r="D28" s="67">
        <f>SUBTOTAL(109,[Feb])</f>
        <v>3100</v>
      </c>
      <c r="E28" s="67">
        <f>SUBTOTAL(109,[Mar])</f>
        <v>3100</v>
      </c>
      <c r="F28" s="67">
        <f>SUBTOTAL(109,[Apr])</f>
        <v>11100</v>
      </c>
      <c r="G28" s="67">
        <f>SUBTOTAL(109,[May])</f>
        <v>3100</v>
      </c>
      <c r="H28" s="67">
        <f>SUBTOTAL(109,[Jun])</f>
        <v>3900</v>
      </c>
      <c r="I28" s="67">
        <f>SUBTOTAL(109,[Jul])</f>
        <v>8100</v>
      </c>
      <c r="J28" s="67">
        <f>SUBTOTAL(109,[Aug])</f>
        <v>6100</v>
      </c>
      <c r="K28" s="67">
        <f>SUBTOTAL(109,[Sep])</f>
        <v>3100</v>
      </c>
      <c r="L28" s="67">
        <f>SUBTOTAL(109,[Oct])</f>
        <v>8100</v>
      </c>
      <c r="M28" s="67">
        <f>SUBTOTAL(109,[Nov])</f>
        <v>3100</v>
      </c>
      <c r="N28" s="67">
        <f>SUBTOTAL(109,[Dec])</f>
        <v>6900</v>
      </c>
      <c r="O28" s="83">
        <f>SUBTOTAL(109,[YEAR])</f>
        <v>67800</v>
      </c>
    </row>
    <row r="29" spans="1:15" ht="21" customHeight="1">
      <c r="A29" s="45"/>
      <c r="B29" s="125"/>
      <c r="C29" s="125"/>
      <c r="D29" s="5"/>
      <c r="E29" s="5"/>
      <c r="F29" s="5"/>
      <c r="G29" s="5"/>
      <c r="H29" s="5"/>
      <c r="I29" s="5"/>
      <c r="J29" s="5"/>
      <c r="K29" s="5"/>
      <c r="L29" s="5"/>
      <c r="M29" s="5"/>
      <c r="N29" s="5"/>
      <c r="O29" s="4"/>
    </row>
    <row r="30" spans="1:15" ht="21" customHeight="1" thickBot="1">
      <c r="A30" s="45" t="s">
        <v>89</v>
      </c>
      <c r="B30" s="84" t="s">
        <v>35</v>
      </c>
      <c r="C30" s="64" t="s">
        <v>2</v>
      </c>
      <c r="D30" s="64" t="s">
        <v>3</v>
      </c>
      <c r="E30" s="65" t="s">
        <v>4</v>
      </c>
      <c r="F30" s="64" t="s">
        <v>5</v>
      </c>
      <c r="G30" s="64" t="s">
        <v>6</v>
      </c>
      <c r="H30" s="64" t="s">
        <v>7</v>
      </c>
      <c r="I30" s="64" t="s">
        <v>8</v>
      </c>
      <c r="J30" s="64" t="s">
        <v>9</v>
      </c>
      <c r="K30" s="64" t="s">
        <v>10</v>
      </c>
      <c r="L30" s="64" t="s">
        <v>11</v>
      </c>
      <c r="M30" s="64" t="s">
        <v>12</v>
      </c>
      <c r="N30" s="64" t="s">
        <v>13</v>
      </c>
      <c r="O30" s="66" t="s">
        <v>14</v>
      </c>
    </row>
    <row r="31" spans="1:15" ht="21" customHeight="1" thickBot="1">
      <c r="A31" s="45"/>
      <c r="B31" s="59" t="s">
        <v>36</v>
      </c>
      <c r="C31" s="82">
        <v>2000</v>
      </c>
      <c r="D31" s="81">
        <v>2000</v>
      </c>
      <c r="E31" s="81">
        <v>2000</v>
      </c>
      <c r="F31" s="81">
        <v>2000</v>
      </c>
      <c r="G31" s="81">
        <v>2000</v>
      </c>
      <c r="H31" s="81">
        <v>2000</v>
      </c>
      <c r="I31" s="81">
        <v>2000</v>
      </c>
      <c r="J31" s="81">
        <v>2000</v>
      </c>
      <c r="K31" s="81">
        <v>2000</v>
      </c>
      <c r="L31" s="81">
        <v>2000</v>
      </c>
      <c r="M31" s="81">
        <v>2000</v>
      </c>
      <c r="N31" s="81">
        <v>2000</v>
      </c>
      <c r="O31" s="87">
        <f>SUM(C31:N31)</f>
        <v>24000</v>
      </c>
    </row>
    <row r="32" spans="1:15" ht="21" customHeight="1" thickBot="1">
      <c r="A32" s="45"/>
      <c r="B32" s="59" t="s">
        <v>37</v>
      </c>
      <c r="C32" s="82">
        <v>2000</v>
      </c>
      <c r="D32" s="81">
        <v>2000</v>
      </c>
      <c r="E32" s="81">
        <v>2000</v>
      </c>
      <c r="F32" s="81">
        <v>2000</v>
      </c>
      <c r="G32" s="81">
        <v>2000</v>
      </c>
      <c r="H32" s="81">
        <v>2000</v>
      </c>
      <c r="I32" s="81">
        <v>2000</v>
      </c>
      <c r="J32" s="81">
        <v>2000</v>
      </c>
      <c r="K32" s="81">
        <v>2000</v>
      </c>
      <c r="L32" s="81">
        <v>2000</v>
      </c>
      <c r="M32" s="81">
        <v>2000</v>
      </c>
      <c r="N32" s="81">
        <v>2000</v>
      </c>
      <c r="O32" s="87">
        <f>SUM(C32:N32)</f>
        <v>24000</v>
      </c>
    </row>
    <row r="33" spans="1:15" ht="21" customHeight="1">
      <c r="A33" s="45"/>
      <c r="B33" s="62" t="s">
        <v>18</v>
      </c>
      <c r="C33" s="88">
        <f>SUBTOTAL(109,[Jan])</f>
        <v>4000</v>
      </c>
      <c r="D33" s="85">
        <f>SUBTOTAL(109,[Feb])</f>
        <v>4000</v>
      </c>
      <c r="E33" s="85">
        <f>SUBTOTAL(109,[Mar])</f>
        <v>4000</v>
      </c>
      <c r="F33" s="85">
        <f>SUBTOTAL(109,[Apr])</f>
        <v>4000</v>
      </c>
      <c r="G33" s="85">
        <f>SUBTOTAL(109,[May])</f>
        <v>4000</v>
      </c>
      <c r="H33" s="85">
        <f>SUBTOTAL(109,[Jun])</f>
        <v>4000</v>
      </c>
      <c r="I33" s="85">
        <f>SUBTOTAL(109,[Jul])</f>
        <v>4000</v>
      </c>
      <c r="J33" s="85">
        <f>SUBTOTAL(109,[Aug])</f>
        <v>4000</v>
      </c>
      <c r="K33" s="85">
        <f>SUBTOTAL(109,[Sep])</f>
        <v>4000</v>
      </c>
      <c r="L33" s="85">
        <f>SUBTOTAL(109,[Oct])</f>
        <v>4000</v>
      </c>
      <c r="M33" s="85">
        <f>SUBTOTAL(109,[Nov])</f>
        <v>4000</v>
      </c>
      <c r="N33" s="85">
        <f>SUBTOTAL(109,[Dec])</f>
        <v>4000</v>
      </c>
      <c r="O33" s="86">
        <f>SUBTOTAL(109,[YEAR])</f>
        <v>48000</v>
      </c>
    </row>
    <row r="34" spans="1:15" ht="21" customHeight="1">
      <c r="A34" s="45"/>
      <c r="B34" s="125"/>
      <c r="C34" s="125"/>
      <c r="D34" s="4"/>
      <c r="E34" s="4"/>
      <c r="F34" s="4"/>
      <c r="G34" s="4"/>
      <c r="H34" s="4"/>
      <c r="I34" s="4"/>
      <c r="J34" s="4"/>
      <c r="K34" s="4"/>
      <c r="L34" s="4"/>
      <c r="M34" s="4"/>
      <c r="N34" s="4"/>
      <c r="O34" s="4"/>
    </row>
    <row r="35" spans="1:15" ht="24.95" customHeight="1" thickBot="1">
      <c r="A35" s="45" t="s">
        <v>88</v>
      </c>
      <c r="B35" s="33" t="s">
        <v>38</v>
      </c>
      <c r="C35" s="35" t="s">
        <v>2</v>
      </c>
      <c r="D35" s="35" t="s">
        <v>3</v>
      </c>
      <c r="E35" s="35" t="s">
        <v>4</v>
      </c>
      <c r="F35" s="35" t="s">
        <v>5</v>
      </c>
      <c r="G35" s="35" t="s">
        <v>6</v>
      </c>
      <c r="H35" s="35" t="s">
        <v>7</v>
      </c>
      <c r="I35" s="35" t="s">
        <v>8</v>
      </c>
      <c r="J35" s="35" t="s">
        <v>9</v>
      </c>
      <c r="K35" s="35" t="s">
        <v>10</v>
      </c>
      <c r="L35" s="35" t="s">
        <v>11</v>
      </c>
      <c r="M35" s="35" t="s">
        <v>12</v>
      </c>
      <c r="N35" s="35" t="s">
        <v>13</v>
      </c>
      <c r="O35" s="35" t="s">
        <v>65</v>
      </c>
    </row>
    <row r="36" spans="1:15" ht="24.95" customHeight="1" thickBot="1">
      <c r="A36" s="45"/>
      <c r="B36" s="34" t="s">
        <v>39</v>
      </c>
      <c r="C36" s="15">
        <f>TrainingAndTravelPlan[[#Totals],[Jan]]+MarketingPlan[[#Totals],[Jan]]+OfficePlan[[#Totals],[Jan]]+EmployeePlan[[#Totals],[Jan]]</f>
        <v>131420</v>
      </c>
      <c r="D36" s="15">
        <f>TrainingAndTravelPlan[[#Totals],[Feb]]+MarketingPlan[[#Totals],[Feb]]+OfficePlan[[#Totals],[Feb]]+EmployeePlan[[#Totals],[Feb]]</f>
        <v>126820</v>
      </c>
      <c r="E36" s="15">
        <f>TrainingAndTravelPlan[[#Totals],[Mar]]+MarketingPlan[[#Totals],[Mar]]+OfficePlan[[#Totals],[Mar]]+EmployeePlan[[#Totals],[Mar]]</f>
        <v>126820</v>
      </c>
      <c r="F36" s="15">
        <f>TrainingAndTravelPlan[[#Totals],[Apr]]+MarketingPlan[[#Totals],[Apr]]+OfficePlan[[#Totals],[Apr]]+EmployeePlan[[#Totals],[Apr]]</f>
        <v>137695</v>
      </c>
      <c r="G36" s="15">
        <f>TrainingAndTravelPlan[[#Totals],[May]]+MarketingPlan[[#Totals],[May]]+OfficePlan[[#Totals],[May]]+EmployeePlan[[#Totals],[May]]</f>
        <v>129695</v>
      </c>
      <c r="H36" s="15">
        <f>TrainingAndTravelPlan[[#Totals],[Jun]]+MarketingPlan[[#Totals],[Jun]]+OfficePlan[[#Totals],[Jun]]+EmployeePlan[[#Totals],[Jun]]</f>
        <v>130495</v>
      </c>
      <c r="I36" s="16">
        <f>TrainingAndTravelPlan[[#Totals],[Jul]]+MarketingPlan[[#Totals],[Jul]]+OfficePlan[[#Totals],[Jul]]+EmployeePlan[[#Totals],[Jul]]</f>
        <v>134695</v>
      </c>
      <c r="J36" s="15">
        <f>TrainingAndTravelPlan[[#Totals],[Aug]]+MarketingPlan[[#Totals],[Aug]]+OfficePlan[[#Totals],[Aug]]+EmployeePlan[[#Totals],[Aug]]</f>
        <v>138918</v>
      </c>
      <c r="K36" s="15">
        <f>TrainingAndTravelPlan[[#Totals],[Sep]]+MarketingPlan[[#Totals],[Sep]]+OfficePlan[[#Totals],[Sep]]+EmployeePlan[[#Totals],[Sep]]</f>
        <v>135918</v>
      </c>
      <c r="L36" s="15">
        <f>TrainingAndTravelPlan[[#Totals],[Oct]]+MarketingPlan[[#Totals],[Oct]]+OfficePlan[[#Totals],[Oct]]+EmployeePlan[[#Totals],[Oct]]</f>
        <v>140918</v>
      </c>
      <c r="M36" s="15">
        <f>TrainingAndTravelPlan[[#Totals],[Nov]]+MarketingPlan[[#Totals],[Nov]]+OfficePlan[[#Totals],[Nov]]+EmployeePlan[[#Totals],[Nov]]</f>
        <v>136218</v>
      </c>
      <c r="N36" s="15">
        <f>TrainingAndTravelPlan[[#Totals],[Dec]]+MarketingPlan[[#Totals],[Dec]]+OfficePlan[[#Totals],[Dec]]+EmployeePlan[[#Totals],[Dec]]</f>
        <v>140018</v>
      </c>
      <c r="O36" s="15">
        <f>TrainingAndTravelPlan[[#Totals],[YEAR]]+MarketingPlan[[#Totals],[YEAR]]+OfficePlan[[#Totals],[YEAR]]+EmployeePlan[[#Totals],[YEAR]]</f>
        <v>1609630</v>
      </c>
    </row>
    <row r="37" spans="1:15" ht="24.95" customHeight="1">
      <c r="A37" s="45"/>
      <c r="B37" s="34" t="s">
        <v>40</v>
      </c>
      <c r="C37" s="15">
        <f>SUM($C$36:C36)</f>
        <v>131420</v>
      </c>
      <c r="D37" s="15">
        <f>SUM($C$36:D36)</f>
        <v>258240</v>
      </c>
      <c r="E37" s="15">
        <f>SUM($C$36:E36)</f>
        <v>385060</v>
      </c>
      <c r="F37" s="15">
        <f>SUM($C$36:F36)</f>
        <v>522755</v>
      </c>
      <c r="G37" s="15">
        <f>SUM($C$36:G36)</f>
        <v>652450</v>
      </c>
      <c r="H37" s="15">
        <f>SUM($C$36:H36)</f>
        <v>782945</v>
      </c>
      <c r="I37" s="15">
        <f>SUM($C$36:I36)</f>
        <v>917640</v>
      </c>
      <c r="J37" s="15">
        <f>SUM($C$36:J36)</f>
        <v>1056558</v>
      </c>
      <c r="K37" s="15">
        <f>SUM($C$36:K36)</f>
        <v>1192476</v>
      </c>
      <c r="L37" s="15">
        <f>SUM($C$36:L36)</f>
        <v>1333394</v>
      </c>
      <c r="M37" s="15">
        <f>SUM($C$36:M36)</f>
        <v>1469612</v>
      </c>
      <c r="N37" s="15">
        <f>SUM($C$36:N36)</f>
        <v>1609630</v>
      </c>
      <c r="O37" s="15"/>
    </row>
    <row r="38" spans="1:15" ht="21" customHeight="1">
      <c r="A38" s="45"/>
    </row>
  </sheetData>
  <mergeCells count="9">
    <mergeCell ref="R4:T13"/>
    <mergeCell ref="N2:O3"/>
    <mergeCell ref="K2:M2"/>
    <mergeCell ref="B34:C34"/>
    <mergeCell ref="B29:C29"/>
    <mergeCell ref="B20:C20"/>
    <mergeCell ref="B9:C9"/>
    <mergeCell ref="B2:D3"/>
    <mergeCell ref="K3:M3"/>
  </mergeCells>
  <printOptions horizontalCentered="1"/>
  <pageMargins left="0.39370078740157483" right="0.39370078740157483" top="0.39370078740157483" bottom="0.39370078740157483" header="0.31496062992125984" footer="0.31496062992125984"/>
  <pageSetup scale="60" fitToHeight="0" orientation="landscape" r:id="rId1"/>
  <headerFooter differentFirst="1">
    <oddFooter>Page &amp;P of &amp;N</oddFooter>
  </headerFooter>
  <ignoredErrors>
    <ignoredError sqref="C6:N6 C36:O37" calculatedColumn="1"/>
    <ignoredError sqref="O12" emptyCellReference="1"/>
  </ignoredErrors>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sheetPr codeName="Sheet3">
    <tabColor theme="7"/>
    <pageSetUpPr autoPageBreaks="0" fitToPage="1"/>
  </sheetPr>
  <dimension ref="A1:P38"/>
  <sheetViews>
    <sheetView showGridLines="0" workbookViewId="0"/>
  </sheetViews>
  <sheetFormatPr defaultColWidth="9.140625" defaultRowHeight="21" customHeight="1"/>
  <cols>
    <col min="1" max="1" width="4.7109375" style="1" customWidth="1"/>
    <col min="2" max="2" width="33.42578125" style="2" customWidth="1"/>
    <col min="3" max="14" width="14.28515625" style="2" customWidth="1"/>
    <col min="15" max="15" width="16.28515625" style="2" customWidth="1"/>
    <col min="16" max="16" width="4.7109375" style="1" customWidth="1"/>
    <col min="17" max="16384" width="9.140625" style="2"/>
  </cols>
  <sheetData>
    <row r="1" spans="1:16" s="1" customFormat="1" ht="24" customHeight="1">
      <c r="A1" s="46" t="s">
        <v>77</v>
      </c>
      <c r="B1" s="11"/>
      <c r="C1" s="11"/>
      <c r="D1" s="11"/>
      <c r="E1" s="11"/>
      <c r="F1" s="8"/>
      <c r="G1" s="8"/>
      <c r="H1" s="8"/>
      <c r="I1" s="8"/>
      <c r="J1" s="8"/>
      <c r="K1" s="8"/>
      <c r="L1" s="8"/>
      <c r="M1" s="8"/>
      <c r="N1" s="8"/>
      <c r="O1" s="8"/>
      <c r="P1" s="94" t="s">
        <v>47</v>
      </c>
    </row>
    <row r="2" spans="1:16" s="1" customFormat="1" ht="45" customHeight="1">
      <c r="A2" s="44" t="s">
        <v>78</v>
      </c>
      <c r="B2" s="127" t="str">
        <f>'PLANNED EXPENSES'!B2:D3</f>
        <v>Company Name</v>
      </c>
      <c r="C2" s="127"/>
      <c r="D2" s="127"/>
      <c r="E2" s="12"/>
      <c r="F2" s="9"/>
      <c r="G2" s="9"/>
      <c r="H2" s="9"/>
      <c r="I2" s="9"/>
      <c r="J2" s="9"/>
      <c r="K2" s="124" t="str">
        <f>worksheet_title</f>
        <v>Detailed Expense Estimates</v>
      </c>
      <c r="L2" s="124"/>
      <c r="M2" s="124"/>
      <c r="N2" s="123" t="s">
        <v>66</v>
      </c>
      <c r="O2" s="123"/>
      <c r="P2" s="8"/>
    </row>
    <row r="3" spans="1:16" s="1" customFormat="1" ht="30" customHeight="1">
      <c r="A3" s="44" t="s">
        <v>83</v>
      </c>
      <c r="B3" s="127"/>
      <c r="C3" s="127"/>
      <c r="D3" s="127"/>
      <c r="E3" s="13"/>
      <c r="F3" s="10"/>
      <c r="G3" s="10"/>
      <c r="H3" s="10"/>
      <c r="I3" s="10"/>
      <c r="J3" s="10"/>
      <c r="K3" s="129" t="s">
        <v>48</v>
      </c>
      <c r="L3" s="129"/>
      <c r="M3" s="129"/>
      <c r="N3" s="123"/>
      <c r="O3" s="123"/>
      <c r="P3" s="8"/>
    </row>
    <row r="4" spans="1:16" s="14" customFormat="1" ht="49.5" customHeight="1">
      <c r="A4" s="45" t="s">
        <v>90</v>
      </c>
      <c r="B4" s="30" t="s">
        <v>63</v>
      </c>
      <c r="C4" s="31" t="s">
        <v>51</v>
      </c>
      <c r="D4" s="31" t="s">
        <v>52</v>
      </c>
      <c r="E4" s="32" t="s">
        <v>53</v>
      </c>
      <c r="F4" s="31" t="s">
        <v>54</v>
      </c>
      <c r="G4" s="31" t="s">
        <v>55</v>
      </c>
      <c r="H4" s="31" t="s">
        <v>56</v>
      </c>
      <c r="I4" s="32" t="s">
        <v>57</v>
      </c>
      <c r="J4" s="31" t="s">
        <v>58</v>
      </c>
      <c r="K4" s="31" t="s">
        <v>59</v>
      </c>
      <c r="L4" s="31" t="s">
        <v>60</v>
      </c>
      <c r="M4" s="31" t="s">
        <v>61</v>
      </c>
      <c r="N4" s="32" t="s">
        <v>62</v>
      </c>
      <c r="O4" s="31" t="s">
        <v>14</v>
      </c>
    </row>
    <row r="5" spans="1:16" ht="24.95" customHeight="1" thickBot="1">
      <c r="A5" s="45" t="s">
        <v>91</v>
      </c>
      <c r="B5" s="58" t="s">
        <v>15</v>
      </c>
      <c r="C5" s="98" t="s">
        <v>2</v>
      </c>
      <c r="D5" s="64" t="s">
        <v>3</v>
      </c>
      <c r="E5" s="65" t="s">
        <v>4</v>
      </c>
      <c r="F5" s="64" t="s">
        <v>5</v>
      </c>
      <c r="G5" s="64" t="s">
        <v>6</v>
      </c>
      <c r="H5" s="64" t="s">
        <v>7</v>
      </c>
      <c r="I5" s="64" t="s">
        <v>8</v>
      </c>
      <c r="J5" s="64" t="s">
        <v>9</v>
      </c>
      <c r="K5" s="64" t="s">
        <v>10</v>
      </c>
      <c r="L5" s="64" t="s">
        <v>11</v>
      </c>
      <c r="M5" s="64" t="s">
        <v>12</v>
      </c>
      <c r="N5" s="64" t="s">
        <v>13</v>
      </c>
      <c r="O5" s="66" t="s">
        <v>14</v>
      </c>
    </row>
    <row r="6" spans="1:16" ht="24.95" customHeight="1" thickBot="1">
      <c r="A6" s="45"/>
      <c r="B6" s="59" t="s">
        <v>16</v>
      </c>
      <c r="C6" s="82">
        <v>85000</v>
      </c>
      <c r="D6" s="81">
        <v>85000</v>
      </c>
      <c r="E6" s="81">
        <v>85000</v>
      </c>
      <c r="F6" s="81">
        <v>88000</v>
      </c>
      <c r="G6" s="81">
        <v>88000</v>
      </c>
      <c r="H6" s="81">
        <v>88000</v>
      </c>
      <c r="I6" s="81"/>
      <c r="J6" s="81"/>
      <c r="K6" s="81"/>
      <c r="L6" s="81"/>
      <c r="M6" s="81"/>
      <c r="N6" s="81"/>
      <c r="O6" s="87">
        <f>SUM(C6:N6)</f>
        <v>519000</v>
      </c>
    </row>
    <row r="7" spans="1:16" ht="24.95" customHeight="1" thickBot="1">
      <c r="A7" s="45"/>
      <c r="B7" s="59" t="s">
        <v>17</v>
      </c>
      <c r="C7" s="82">
        <f t="shared" ref="C7:N7" si="0">C6*0.27</f>
        <v>22950</v>
      </c>
      <c r="D7" s="81">
        <f t="shared" si="0"/>
        <v>22950</v>
      </c>
      <c r="E7" s="81">
        <f t="shared" si="0"/>
        <v>22950</v>
      </c>
      <c r="F7" s="81">
        <f t="shared" si="0"/>
        <v>23760</v>
      </c>
      <c r="G7" s="81">
        <f t="shared" si="0"/>
        <v>23760</v>
      </c>
      <c r="H7" s="81">
        <f t="shared" si="0"/>
        <v>23760</v>
      </c>
      <c r="I7" s="81">
        <f t="shared" si="0"/>
        <v>0</v>
      </c>
      <c r="J7" s="81">
        <f t="shared" si="0"/>
        <v>0</v>
      </c>
      <c r="K7" s="81">
        <f t="shared" si="0"/>
        <v>0</v>
      </c>
      <c r="L7" s="81">
        <f t="shared" si="0"/>
        <v>0</v>
      </c>
      <c r="M7" s="81">
        <f t="shared" si="0"/>
        <v>0</v>
      </c>
      <c r="N7" s="81">
        <f t="shared" si="0"/>
        <v>0</v>
      </c>
      <c r="O7" s="87">
        <f>SUM(C7:N7)</f>
        <v>140130</v>
      </c>
    </row>
    <row r="8" spans="1:16" ht="24.95" customHeight="1">
      <c r="A8" s="45"/>
      <c r="B8" s="100" t="s">
        <v>18</v>
      </c>
      <c r="C8" s="99">
        <f>SUBTOTAL(109,[Jan])</f>
        <v>107950</v>
      </c>
      <c r="D8" s="97">
        <f>SUBTOTAL(109,[Feb])</f>
        <v>107950</v>
      </c>
      <c r="E8" s="97">
        <f>SUBTOTAL(109,[Mar])</f>
        <v>107950</v>
      </c>
      <c r="F8" s="97">
        <f>SUBTOTAL(109,[Apr])</f>
        <v>111760</v>
      </c>
      <c r="G8" s="97">
        <f>SUBTOTAL(109,[May])</f>
        <v>111760</v>
      </c>
      <c r="H8" s="97">
        <f>SUBTOTAL(109,[Jun])</f>
        <v>111760</v>
      </c>
      <c r="I8" s="97">
        <f>SUBTOTAL(109,[Jul])</f>
        <v>0</v>
      </c>
      <c r="J8" s="97">
        <f>SUBTOTAL(109,[Aug])</f>
        <v>0</v>
      </c>
      <c r="K8" s="97">
        <f>SUBTOTAL(109,[Sep])</f>
        <v>0</v>
      </c>
      <c r="L8" s="97">
        <f>SUBTOTAL(109,[Oct])</f>
        <v>0</v>
      </c>
      <c r="M8" s="97">
        <f>SUBTOTAL(109,[Nov])</f>
        <v>0</v>
      </c>
      <c r="N8" s="97">
        <f>SUBTOTAL(109,[Dec])</f>
        <v>0</v>
      </c>
      <c r="O8" s="101">
        <f>SUBTOTAL(109,[YEAR])</f>
        <v>659130</v>
      </c>
    </row>
    <row r="9" spans="1:16" s="1" customFormat="1" ht="21" customHeight="1">
      <c r="A9" s="45"/>
      <c r="B9" s="125"/>
      <c r="C9" s="125"/>
      <c r="D9" s="3"/>
      <c r="E9" s="3"/>
      <c r="F9" s="3"/>
      <c r="G9" s="3"/>
      <c r="H9" s="3"/>
      <c r="I9" s="3"/>
      <c r="J9" s="3"/>
      <c r="K9" s="3"/>
      <c r="L9" s="3"/>
      <c r="M9" s="3"/>
      <c r="N9" s="3"/>
      <c r="O9" s="4"/>
    </row>
    <row r="10" spans="1:16" ht="24.95" customHeight="1" thickBot="1">
      <c r="A10" s="45" t="s">
        <v>92</v>
      </c>
      <c r="B10" s="70" t="s">
        <v>19</v>
      </c>
      <c r="C10" s="98" t="s">
        <v>2</v>
      </c>
      <c r="D10" s="64" t="s">
        <v>3</v>
      </c>
      <c r="E10" s="65" t="s">
        <v>4</v>
      </c>
      <c r="F10" s="64" t="s">
        <v>5</v>
      </c>
      <c r="G10" s="64" t="s">
        <v>6</v>
      </c>
      <c r="H10" s="64" t="s">
        <v>7</v>
      </c>
      <c r="I10" s="64" t="s">
        <v>8</v>
      </c>
      <c r="J10" s="64" t="s">
        <v>9</v>
      </c>
      <c r="K10" s="64" t="s">
        <v>10</v>
      </c>
      <c r="L10" s="64" t="s">
        <v>11</v>
      </c>
      <c r="M10" s="64" t="s">
        <v>12</v>
      </c>
      <c r="N10" s="64" t="s">
        <v>13</v>
      </c>
      <c r="O10" s="66" t="s">
        <v>14</v>
      </c>
    </row>
    <row r="11" spans="1:16" ht="24.95" customHeight="1" thickBot="1">
      <c r="A11" s="45"/>
      <c r="B11" s="59" t="s">
        <v>20</v>
      </c>
      <c r="C11" s="82">
        <v>9800</v>
      </c>
      <c r="D11" s="81">
        <v>9800</v>
      </c>
      <c r="E11" s="81">
        <v>9800</v>
      </c>
      <c r="F11" s="81">
        <v>9800</v>
      </c>
      <c r="G11" s="81">
        <v>9800</v>
      </c>
      <c r="H11" s="81">
        <v>9800</v>
      </c>
      <c r="I11" s="81"/>
      <c r="J11" s="81"/>
      <c r="K11" s="81"/>
      <c r="L11" s="81"/>
      <c r="M11" s="81"/>
      <c r="N11" s="81"/>
      <c r="O11" s="87">
        <f t="shared" ref="O11:O18" si="1">SUM(C11:N11)</f>
        <v>58800</v>
      </c>
    </row>
    <row r="12" spans="1:16" ht="24.95" customHeight="1" thickBot="1">
      <c r="A12" s="45"/>
      <c r="B12" s="59" t="s">
        <v>21</v>
      </c>
      <c r="C12" s="82">
        <v>4</v>
      </c>
      <c r="D12" s="81">
        <v>430</v>
      </c>
      <c r="E12" s="81">
        <v>385</v>
      </c>
      <c r="F12" s="81">
        <v>230</v>
      </c>
      <c r="G12" s="81">
        <v>87</v>
      </c>
      <c r="H12" s="81">
        <v>88</v>
      </c>
      <c r="I12" s="81"/>
      <c r="J12" s="81"/>
      <c r="K12" s="81"/>
      <c r="L12" s="81"/>
      <c r="M12" s="81"/>
      <c r="N12" s="81"/>
      <c r="O12" s="87">
        <f t="shared" si="1"/>
        <v>1224</v>
      </c>
    </row>
    <row r="13" spans="1:16" ht="24.95" customHeight="1" thickBot="1">
      <c r="A13" s="45"/>
      <c r="B13" s="59" t="s">
        <v>22</v>
      </c>
      <c r="C13" s="82">
        <v>288</v>
      </c>
      <c r="D13" s="81">
        <v>278</v>
      </c>
      <c r="E13" s="81">
        <v>268</v>
      </c>
      <c r="F13" s="81">
        <v>299</v>
      </c>
      <c r="G13" s="81">
        <v>306</v>
      </c>
      <c r="H13" s="81">
        <v>290</v>
      </c>
      <c r="I13" s="81"/>
      <c r="J13" s="81"/>
      <c r="K13" s="81"/>
      <c r="L13" s="81"/>
      <c r="M13" s="81"/>
      <c r="N13" s="81"/>
      <c r="O13" s="87">
        <f t="shared" si="1"/>
        <v>1729</v>
      </c>
    </row>
    <row r="14" spans="1:16" ht="24.95" customHeight="1" thickBot="1">
      <c r="A14" s="45"/>
      <c r="B14" s="59" t="s">
        <v>23</v>
      </c>
      <c r="C14" s="82">
        <v>35</v>
      </c>
      <c r="D14" s="81">
        <v>33</v>
      </c>
      <c r="E14" s="81">
        <v>34</v>
      </c>
      <c r="F14" s="81">
        <v>36</v>
      </c>
      <c r="G14" s="81">
        <v>34</v>
      </c>
      <c r="H14" s="81">
        <v>36</v>
      </c>
      <c r="I14" s="81"/>
      <c r="J14" s="81"/>
      <c r="K14" s="81"/>
      <c r="L14" s="81"/>
      <c r="M14" s="81"/>
      <c r="N14" s="81"/>
      <c r="O14" s="87">
        <f t="shared" si="1"/>
        <v>208</v>
      </c>
    </row>
    <row r="15" spans="1:16" ht="24.95" customHeight="1" thickBot="1">
      <c r="A15" s="45"/>
      <c r="B15" s="59" t="s">
        <v>24</v>
      </c>
      <c r="C15" s="82">
        <v>224</v>
      </c>
      <c r="D15" s="81">
        <v>235</v>
      </c>
      <c r="E15" s="81">
        <v>265</v>
      </c>
      <c r="F15" s="81">
        <v>245</v>
      </c>
      <c r="G15" s="81">
        <v>245</v>
      </c>
      <c r="H15" s="81">
        <v>220</v>
      </c>
      <c r="I15" s="81"/>
      <c r="J15" s="81"/>
      <c r="K15" s="81"/>
      <c r="L15" s="81"/>
      <c r="M15" s="81"/>
      <c r="N15" s="81"/>
      <c r="O15" s="87">
        <f t="shared" si="1"/>
        <v>1434</v>
      </c>
    </row>
    <row r="16" spans="1:16" ht="24.95" customHeight="1" thickBot="1">
      <c r="A16" s="45"/>
      <c r="B16" s="59" t="s">
        <v>25</v>
      </c>
      <c r="C16" s="82">
        <v>180</v>
      </c>
      <c r="D16" s="81">
        <v>180</v>
      </c>
      <c r="E16" s="81">
        <v>180</v>
      </c>
      <c r="F16" s="81">
        <v>180</v>
      </c>
      <c r="G16" s="81">
        <v>180</v>
      </c>
      <c r="H16" s="81">
        <v>180</v>
      </c>
      <c r="I16" s="81"/>
      <c r="J16" s="81"/>
      <c r="K16" s="81"/>
      <c r="L16" s="81"/>
      <c r="M16" s="81"/>
      <c r="N16" s="81"/>
      <c r="O16" s="87">
        <f t="shared" si="1"/>
        <v>1080</v>
      </c>
    </row>
    <row r="17" spans="1:15" ht="24.95" customHeight="1" thickBot="1">
      <c r="A17" s="45"/>
      <c r="B17" s="59" t="s">
        <v>26</v>
      </c>
      <c r="C17" s="82">
        <v>256</v>
      </c>
      <c r="D17" s="81">
        <v>142</v>
      </c>
      <c r="E17" s="81">
        <v>160</v>
      </c>
      <c r="F17" s="81">
        <v>221</v>
      </c>
      <c r="G17" s="81">
        <v>256</v>
      </c>
      <c r="H17" s="81">
        <v>240</v>
      </c>
      <c r="I17" s="81"/>
      <c r="J17" s="81"/>
      <c r="K17" s="81"/>
      <c r="L17" s="81"/>
      <c r="M17" s="81"/>
      <c r="N17" s="81"/>
      <c r="O17" s="87">
        <f t="shared" si="1"/>
        <v>1275</v>
      </c>
    </row>
    <row r="18" spans="1:15" ht="24.95" customHeight="1" thickBot="1">
      <c r="A18" s="45"/>
      <c r="B18" s="59" t="s">
        <v>27</v>
      </c>
      <c r="C18" s="82">
        <v>600</v>
      </c>
      <c r="D18" s="81">
        <v>600</v>
      </c>
      <c r="E18" s="81">
        <v>600</v>
      </c>
      <c r="F18" s="81">
        <v>600</v>
      </c>
      <c r="G18" s="81">
        <v>600</v>
      </c>
      <c r="H18" s="81">
        <v>600</v>
      </c>
      <c r="I18" s="81"/>
      <c r="J18" s="81"/>
      <c r="K18" s="81"/>
      <c r="L18" s="81"/>
      <c r="M18" s="81"/>
      <c r="N18" s="81"/>
      <c r="O18" s="87">
        <f t="shared" si="1"/>
        <v>3600</v>
      </c>
    </row>
    <row r="19" spans="1:15" ht="24.95" customHeight="1">
      <c r="A19" s="45"/>
      <c r="B19" s="102" t="s">
        <v>18</v>
      </c>
      <c r="C19" s="85">
        <f>SUBTOTAL(109,[Jan])</f>
        <v>11387</v>
      </c>
      <c r="D19" s="85">
        <f>SUBTOTAL(109,[Feb])</f>
        <v>11698</v>
      </c>
      <c r="E19" s="85">
        <f>SUBTOTAL(109,[Mar])</f>
        <v>11692</v>
      </c>
      <c r="F19" s="85">
        <f>SUBTOTAL(109,[Apr])</f>
        <v>11611</v>
      </c>
      <c r="G19" s="85">
        <f>SUBTOTAL(109,[May])</f>
        <v>11508</v>
      </c>
      <c r="H19" s="85">
        <f>SUBTOTAL(109,[Jun])</f>
        <v>11454</v>
      </c>
      <c r="I19" s="85">
        <f>SUBTOTAL(109,[Jul])</f>
        <v>0</v>
      </c>
      <c r="J19" s="85">
        <f>SUBTOTAL(109,[Aug])</f>
        <v>0</v>
      </c>
      <c r="K19" s="85">
        <f>SUBTOTAL(109,[Sep])</f>
        <v>0</v>
      </c>
      <c r="L19" s="85">
        <f>SUBTOTAL(109,[Oct])</f>
        <v>0</v>
      </c>
      <c r="M19" s="85">
        <f>SUBTOTAL(109,[Nov])</f>
        <v>0</v>
      </c>
      <c r="N19" s="85">
        <f>SUBTOTAL(109,[Dec])</f>
        <v>0</v>
      </c>
      <c r="O19" s="86">
        <f>SUBTOTAL(109,[YEAR])</f>
        <v>69350</v>
      </c>
    </row>
    <row r="20" spans="1:15" ht="21" customHeight="1">
      <c r="A20" s="45"/>
      <c r="B20" s="126"/>
      <c r="C20" s="126"/>
      <c r="D20" s="3"/>
      <c r="E20" s="3"/>
      <c r="F20" s="5"/>
      <c r="G20" s="5"/>
      <c r="H20" s="5"/>
      <c r="I20" s="5"/>
      <c r="J20" s="5"/>
      <c r="K20" s="5"/>
      <c r="L20" s="5"/>
      <c r="M20" s="5"/>
      <c r="N20" s="5"/>
      <c r="O20" s="4"/>
    </row>
    <row r="21" spans="1:15" ht="24.95" customHeight="1" thickBot="1">
      <c r="A21" s="45" t="s">
        <v>93</v>
      </c>
      <c r="B21" s="104" t="s">
        <v>28</v>
      </c>
      <c r="C21" s="98" t="s">
        <v>2</v>
      </c>
      <c r="D21" s="64" t="s">
        <v>3</v>
      </c>
      <c r="E21" s="65" t="s">
        <v>4</v>
      </c>
      <c r="F21" s="64" t="s">
        <v>5</v>
      </c>
      <c r="G21" s="64" t="s">
        <v>6</v>
      </c>
      <c r="H21" s="64" t="s">
        <v>7</v>
      </c>
      <c r="I21" s="64" t="s">
        <v>8</v>
      </c>
      <c r="J21" s="64" t="s">
        <v>9</v>
      </c>
      <c r="K21" s="64" t="s">
        <v>10</v>
      </c>
      <c r="L21" s="64" t="s">
        <v>11</v>
      </c>
      <c r="M21" s="64" t="s">
        <v>12</v>
      </c>
      <c r="N21" s="64" t="s">
        <v>13</v>
      </c>
      <c r="O21" s="66" t="s">
        <v>14</v>
      </c>
    </row>
    <row r="22" spans="1:15" ht="24.95" customHeight="1" thickBot="1">
      <c r="A22" s="45"/>
      <c r="B22" s="59" t="s">
        <v>29</v>
      </c>
      <c r="C22" s="82">
        <v>500</v>
      </c>
      <c r="D22" s="81">
        <v>500</v>
      </c>
      <c r="E22" s="81">
        <v>500</v>
      </c>
      <c r="F22" s="81">
        <v>500</v>
      </c>
      <c r="G22" s="81">
        <v>500</v>
      </c>
      <c r="H22" s="81">
        <v>500</v>
      </c>
      <c r="I22" s="81"/>
      <c r="J22" s="81"/>
      <c r="K22" s="81"/>
      <c r="L22" s="81"/>
      <c r="M22" s="81"/>
      <c r="N22" s="81"/>
      <c r="O22" s="87">
        <f t="shared" ref="O22:O27" si="2">SUM(C22:N22)</f>
        <v>3000</v>
      </c>
    </row>
    <row r="23" spans="1:15" ht="24.95" customHeight="1" thickBot="1">
      <c r="A23" s="45"/>
      <c r="B23" s="59" t="s">
        <v>30</v>
      </c>
      <c r="C23" s="82">
        <v>200</v>
      </c>
      <c r="D23" s="81">
        <v>200</v>
      </c>
      <c r="E23" s="81">
        <v>200</v>
      </c>
      <c r="F23" s="81">
        <v>200</v>
      </c>
      <c r="G23" s="81">
        <v>200</v>
      </c>
      <c r="H23" s="81">
        <v>1500</v>
      </c>
      <c r="I23" s="81"/>
      <c r="J23" s="81"/>
      <c r="K23" s="81"/>
      <c r="L23" s="81"/>
      <c r="M23" s="81"/>
      <c r="N23" s="81"/>
      <c r="O23" s="87">
        <f t="shared" si="2"/>
        <v>2500</v>
      </c>
    </row>
    <row r="24" spans="1:15" ht="24.95" customHeight="1" thickBot="1">
      <c r="A24" s="45"/>
      <c r="B24" s="59" t="s">
        <v>31</v>
      </c>
      <c r="C24" s="82">
        <v>4800</v>
      </c>
      <c r="D24" s="81">
        <v>0</v>
      </c>
      <c r="E24" s="81">
        <v>0</v>
      </c>
      <c r="F24" s="81">
        <v>5500</v>
      </c>
      <c r="G24" s="81">
        <v>0</v>
      </c>
      <c r="H24" s="81">
        <v>0</v>
      </c>
      <c r="I24" s="81"/>
      <c r="J24" s="81"/>
      <c r="K24" s="81"/>
      <c r="L24" s="81"/>
      <c r="M24" s="81"/>
      <c r="N24" s="81"/>
      <c r="O24" s="87">
        <f t="shared" si="2"/>
        <v>10300</v>
      </c>
    </row>
    <row r="25" spans="1:15" ht="24.95" customHeight="1" thickBot="1">
      <c r="A25" s="45"/>
      <c r="B25" s="59" t="s">
        <v>32</v>
      </c>
      <c r="C25" s="82">
        <v>100</v>
      </c>
      <c r="D25" s="81">
        <v>500</v>
      </c>
      <c r="E25" s="81">
        <v>100</v>
      </c>
      <c r="F25" s="81">
        <v>100</v>
      </c>
      <c r="G25" s="81">
        <v>600</v>
      </c>
      <c r="H25" s="81">
        <v>180</v>
      </c>
      <c r="I25" s="81"/>
      <c r="J25" s="81"/>
      <c r="K25" s="81"/>
      <c r="L25" s="81"/>
      <c r="M25" s="81"/>
      <c r="N25" s="81"/>
      <c r="O25" s="87">
        <f t="shared" si="2"/>
        <v>1580</v>
      </c>
    </row>
    <row r="26" spans="1:15" ht="24.95" customHeight="1" thickBot="1">
      <c r="A26" s="45"/>
      <c r="B26" s="59" t="s">
        <v>33</v>
      </c>
      <c r="C26" s="82">
        <v>1800</v>
      </c>
      <c r="D26" s="81">
        <v>2200</v>
      </c>
      <c r="E26" s="81">
        <v>2200</v>
      </c>
      <c r="F26" s="81">
        <v>4700</v>
      </c>
      <c r="G26" s="81">
        <v>1500</v>
      </c>
      <c r="H26" s="81">
        <v>2300</v>
      </c>
      <c r="I26" s="81"/>
      <c r="J26" s="81"/>
      <c r="K26" s="81"/>
      <c r="L26" s="81"/>
      <c r="M26" s="81"/>
      <c r="N26" s="81"/>
      <c r="O26" s="87">
        <f t="shared" si="2"/>
        <v>14700</v>
      </c>
    </row>
    <row r="27" spans="1:15" ht="24.95" customHeight="1" thickBot="1">
      <c r="A27" s="45"/>
      <c r="B27" s="59" t="s">
        <v>34</v>
      </c>
      <c r="C27" s="82">
        <v>145</v>
      </c>
      <c r="D27" s="81">
        <v>156</v>
      </c>
      <c r="E27" s="81">
        <v>123</v>
      </c>
      <c r="F27" s="81">
        <v>223</v>
      </c>
      <c r="G27" s="81">
        <v>187</v>
      </c>
      <c r="H27" s="81">
        <v>245</v>
      </c>
      <c r="I27" s="81"/>
      <c r="J27" s="81"/>
      <c r="K27" s="81"/>
      <c r="L27" s="81"/>
      <c r="M27" s="81"/>
      <c r="N27" s="81"/>
      <c r="O27" s="87">
        <f t="shared" si="2"/>
        <v>1079</v>
      </c>
    </row>
    <row r="28" spans="1:15" ht="24.95" customHeight="1">
      <c r="A28" s="45"/>
      <c r="B28" s="96" t="s">
        <v>18</v>
      </c>
      <c r="C28" s="103">
        <f>SUBTOTAL(109,[Jan])</f>
        <v>7545</v>
      </c>
      <c r="D28" s="85">
        <f>SUBTOTAL(109,[Feb])</f>
        <v>3556</v>
      </c>
      <c r="E28" s="85">
        <f>SUBTOTAL(109,[Mar])</f>
        <v>3123</v>
      </c>
      <c r="F28" s="85">
        <f>SUBTOTAL(109,[Apr])</f>
        <v>11223</v>
      </c>
      <c r="G28" s="85">
        <f>SUBTOTAL(109,[May])</f>
        <v>2987</v>
      </c>
      <c r="H28" s="85">
        <f>SUBTOTAL(109,[Jun])</f>
        <v>4725</v>
      </c>
      <c r="I28" s="85">
        <f>SUBTOTAL(109,[Jul])</f>
        <v>0</v>
      </c>
      <c r="J28" s="85">
        <f>SUBTOTAL(109,[Aug])</f>
        <v>0</v>
      </c>
      <c r="K28" s="85">
        <f>SUBTOTAL(109,[Sep])</f>
        <v>0</v>
      </c>
      <c r="L28" s="85">
        <f>SUBTOTAL(109,[Oct])</f>
        <v>0</v>
      </c>
      <c r="M28" s="85">
        <f>SUBTOTAL(109,[Nov])</f>
        <v>0</v>
      </c>
      <c r="N28" s="85">
        <f>SUBTOTAL(109,[Dec])</f>
        <v>0</v>
      </c>
      <c r="O28" s="86">
        <f>SUBTOTAL(109,[YEAR])</f>
        <v>33159</v>
      </c>
    </row>
    <row r="29" spans="1:15" ht="21" customHeight="1">
      <c r="A29" s="45"/>
      <c r="B29" s="125"/>
      <c r="C29" s="125"/>
      <c r="D29" s="5"/>
      <c r="E29" s="5"/>
      <c r="F29" s="5"/>
      <c r="G29" s="5"/>
      <c r="H29" s="5"/>
      <c r="I29" s="5"/>
      <c r="J29" s="5"/>
      <c r="K29" s="5"/>
      <c r="L29" s="5"/>
      <c r="M29" s="5"/>
      <c r="N29" s="5"/>
      <c r="O29" s="4"/>
    </row>
    <row r="30" spans="1:15" ht="24.95" customHeight="1" thickBot="1">
      <c r="A30" s="45" t="s">
        <v>94</v>
      </c>
      <c r="B30" s="84" t="s">
        <v>35</v>
      </c>
      <c r="C30" s="64" t="s">
        <v>2</v>
      </c>
      <c r="D30" s="64" t="s">
        <v>3</v>
      </c>
      <c r="E30" s="65" t="s">
        <v>4</v>
      </c>
      <c r="F30" s="64" t="s">
        <v>5</v>
      </c>
      <c r="G30" s="64" t="s">
        <v>6</v>
      </c>
      <c r="H30" s="64" t="s">
        <v>7</v>
      </c>
      <c r="I30" s="64" t="s">
        <v>8</v>
      </c>
      <c r="J30" s="64" t="s">
        <v>9</v>
      </c>
      <c r="K30" s="64" t="s">
        <v>10</v>
      </c>
      <c r="L30" s="64" t="s">
        <v>11</v>
      </c>
      <c r="M30" s="64" t="s">
        <v>12</v>
      </c>
      <c r="N30" s="64" t="s">
        <v>13</v>
      </c>
      <c r="O30" s="66" t="s">
        <v>14</v>
      </c>
    </row>
    <row r="31" spans="1:15" ht="24.95" customHeight="1" thickBot="1">
      <c r="A31" s="45"/>
      <c r="B31" s="95" t="s">
        <v>36</v>
      </c>
      <c r="C31" s="81">
        <v>1600</v>
      </c>
      <c r="D31" s="81">
        <v>2400</v>
      </c>
      <c r="E31" s="81">
        <v>1400</v>
      </c>
      <c r="F31" s="81">
        <v>1600</v>
      </c>
      <c r="G31" s="81">
        <v>1200</v>
      </c>
      <c r="H31" s="81">
        <v>2800</v>
      </c>
      <c r="I31" s="81"/>
      <c r="J31" s="81"/>
      <c r="K31" s="81"/>
      <c r="L31" s="81"/>
      <c r="M31" s="81"/>
      <c r="N31" s="81"/>
      <c r="O31" s="87">
        <f>SUM(C31:N31)</f>
        <v>11000</v>
      </c>
    </row>
    <row r="32" spans="1:15" ht="24.95" customHeight="1" thickBot="1">
      <c r="A32" s="45"/>
      <c r="B32" s="95" t="s">
        <v>37</v>
      </c>
      <c r="C32" s="81">
        <v>1200</v>
      </c>
      <c r="D32" s="81">
        <v>2200</v>
      </c>
      <c r="E32" s="81">
        <v>1400</v>
      </c>
      <c r="F32" s="81">
        <v>1200</v>
      </c>
      <c r="G32" s="81">
        <v>800</v>
      </c>
      <c r="H32" s="81">
        <v>3500</v>
      </c>
      <c r="I32" s="81"/>
      <c r="J32" s="81"/>
      <c r="K32" s="81"/>
      <c r="L32" s="81"/>
      <c r="M32" s="81"/>
      <c r="N32" s="81"/>
      <c r="O32" s="87">
        <f>SUM(C32:N32)</f>
        <v>10300</v>
      </c>
    </row>
    <row r="33" spans="1:16" ht="24.95" customHeight="1">
      <c r="A33" s="45"/>
      <c r="B33" s="102" t="s">
        <v>18</v>
      </c>
      <c r="C33" s="85">
        <f>SUBTOTAL(109,[Jan])</f>
        <v>2800</v>
      </c>
      <c r="D33" s="85">
        <f>SUBTOTAL(109,[Feb])</f>
        <v>4600</v>
      </c>
      <c r="E33" s="85">
        <f>SUBTOTAL(109,[Mar])</f>
        <v>2800</v>
      </c>
      <c r="F33" s="85">
        <f>SUBTOTAL(109,[Apr])</f>
        <v>2800</v>
      </c>
      <c r="G33" s="85">
        <f>SUBTOTAL(109,[May])</f>
        <v>2000</v>
      </c>
      <c r="H33" s="85">
        <f>SUBTOTAL(109,[Jun])</f>
        <v>6300</v>
      </c>
      <c r="I33" s="85">
        <f>SUBTOTAL(109,[Jul])</f>
        <v>0</v>
      </c>
      <c r="J33" s="85">
        <f>SUBTOTAL(109,[Aug])</f>
        <v>0</v>
      </c>
      <c r="K33" s="85">
        <f>SUBTOTAL(109,[Sep])</f>
        <v>0</v>
      </c>
      <c r="L33" s="85">
        <f>SUBTOTAL(109,[Oct])</f>
        <v>0</v>
      </c>
      <c r="M33" s="85">
        <f>SUBTOTAL(109,[Nov])</f>
        <v>0</v>
      </c>
      <c r="N33" s="85">
        <f>SUBTOTAL(109,[Dec])</f>
        <v>0</v>
      </c>
      <c r="O33" s="86">
        <f>SUBTOTAL(109,[YEAR])</f>
        <v>21300</v>
      </c>
    </row>
    <row r="34" spans="1:16" ht="21" customHeight="1">
      <c r="A34" s="45"/>
      <c r="B34" s="125"/>
      <c r="C34" s="125"/>
      <c r="D34" s="4"/>
      <c r="E34" s="4"/>
      <c r="F34" s="4"/>
      <c r="G34" s="4"/>
      <c r="H34" s="4"/>
      <c r="I34" s="4"/>
      <c r="J34" s="4"/>
      <c r="K34" s="4"/>
      <c r="L34" s="4"/>
      <c r="M34" s="4"/>
      <c r="N34" s="4"/>
      <c r="O34" s="4"/>
    </row>
    <row r="35" spans="1:16" ht="24.95" customHeight="1" thickBot="1">
      <c r="A35" s="45" t="s">
        <v>95</v>
      </c>
      <c r="B35" s="37" t="s">
        <v>40</v>
      </c>
      <c r="C35" s="40" t="s">
        <v>2</v>
      </c>
      <c r="D35" s="40" t="s">
        <v>3</v>
      </c>
      <c r="E35" s="40" t="s">
        <v>4</v>
      </c>
      <c r="F35" s="40" t="s">
        <v>5</v>
      </c>
      <c r="G35" s="40" t="s">
        <v>6</v>
      </c>
      <c r="H35" s="40" t="s">
        <v>7</v>
      </c>
      <c r="I35" s="40" t="s">
        <v>8</v>
      </c>
      <c r="J35" s="40" t="s">
        <v>9</v>
      </c>
      <c r="K35" s="40" t="s">
        <v>10</v>
      </c>
      <c r="L35" s="40" t="s">
        <v>11</v>
      </c>
      <c r="M35" s="40" t="s">
        <v>12</v>
      </c>
      <c r="N35" s="40" t="s">
        <v>13</v>
      </c>
      <c r="O35" s="108" t="s">
        <v>65</v>
      </c>
    </row>
    <row r="36" spans="1:16" ht="24.95" customHeight="1" thickBot="1">
      <c r="A36" s="45"/>
      <c r="B36" s="107" t="s">
        <v>42</v>
      </c>
      <c r="C36" s="105">
        <f>TrainingAndTravelActual[[#Totals],[Jan]]+MarketingActual[[#Totals],[Jan]]+OfficeActual[[#Totals],[Jan]]+EmployeeActual[[#Totals],[Jan]]</f>
        <v>129682</v>
      </c>
      <c r="D36" s="20">
        <f>TrainingAndTravelActual[[#Totals],[Feb]]+MarketingActual[[#Totals],[Feb]]+OfficeActual[[#Totals],[Feb]]+EmployeeActual[[#Totals],[Feb]]</f>
        <v>127804</v>
      </c>
      <c r="E36" s="20">
        <f>TrainingAndTravelActual[[#Totals],[Mar]]+MarketingActual[[#Totals],[Mar]]+OfficeActual[[#Totals],[Mar]]+EmployeeActual[[#Totals],[Mar]]</f>
        <v>125565</v>
      </c>
      <c r="F36" s="20">
        <f>TrainingAndTravelActual[[#Totals],[Apr]]+MarketingActual[[#Totals],[Apr]]+OfficeActual[[#Totals],[Apr]]+EmployeeActual[[#Totals],[Apr]]</f>
        <v>137394</v>
      </c>
      <c r="G36" s="20">
        <f>TrainingAndTravelActual[[#Totals],[May]]+MarketingActual[[#Totals],[May]]+OfficeActual[[#Totals],[May]]+EmployeeActual[[#Totals],[May]]</f>
        <v>128255</v>
      </c>
      <c r="H36" s="20">
        <f>TrainingAndTravelActual[[#Totals],[Jun]]+MarketingActual[[#Totals],[Jun]]+OfficeActual[[#Totals],[Jun]]+EmployeeActual[[#Totals],[Jun]]</f>
        <v>134239</v>
      </c>
      <c r="I36" s="20">
        <f>TrainingAndTravelActual[[#Totals],[Jul]]+MarketingActual[[#Totals],[Jul]]+OfficeActual[[#Totals],[Jul]]+EmployeeActual[[#Totals],[Jul]]</f>
        <v>0</v>
      </c>
      <c r="J36" s="20">
        <f>TrainingAndTravelActual[[#Totals],[Aug]]+MarketingActual[[#Totals],[Aug]]+OfficeActual[[#Totals],[Aug]]+EmployeeActual[[#Totals],[Aug]]</f>
        <v>0</v>
      </c>
      <c r="K36" s="20">
        <f>TrainingAndTravelActual[[#Totals],[Sep]]+MarketingActual[[#Totals],[Sep]]+OfficeActual[[#Totals],[Sep]]+EmployeeActual[[#Totals],[Sep]]</f>
        <v>0</v>
      </c>
      <c r="L36" s="20">
        <f>TrainingAndTravelActual[[#Totals],[Oct]]+MarketingActual[[#Totals],[Oct]]+OfficeActual[[#Totals],[Oct]]+EmployeeActual[[#Totals],[Oct]]</f>
        <v>0</v>
      </c>
      <c r="M36" s="20">
        <f>TrainingAndTravelActual[[#Totals],[Nov]]+MarketingActual[[#Totals],[Nov]]+OfficeActual[[#Totals],[Nov]]+EmployeeActual[[#Totals],[Nov]]</f>
        <v>0</v>
      </c>
      <c r="N36" s="20">
        <f>TrainingAndTravelActual[[#Totals],[Dec]]+MarketingActual[[#Totals],[Dec]]+OfficeActual[[#Totals],[Dec]]+EmployeeActual[[#Totals],[Dec]]</f>
        <v>0</v>
      </c>
      <c r="O36" s="20">
        <f>TrainingAndTravelActual[[#Totals],[YEAR]]+MarketingActual[[#Totals],[YEAR]]+OfficeActual[[#Totals],[YEAR]]+EmployeeActual[[#Totals],[YEAR]]</f>
        <v>782939</v>
      </c>
      <c r="P36"/>
    </row>
    <row r="37" spans="1:16" ht="24.95" customHeight="1" thickBot="1">
      <c r="A37" s="45"/>
      <c r="B37" s="107" t="s">
        <v>43</v>
      </c>
      <c r="C37" s="106">
        <f>SUM($C$36:C36)</f>
        <v>129682</v>
      </c>
      <c r="D37" s="38">
        <f>SUM($C$36:D36)</f>
        <v>257486</v>
      </c>
      <c r="E37" s="38">
        <f>SUM($C$36:E36)</f>
        <v>383051</v>
      </c>
      <c r="F37" s="38">
        <f>SUM($C$36:F36)</f>
        <v>520445</v>
      </c>
      <c r="G37" s="38">
        <f>SUM($C$36:G36)</f>
        <v>648700</v>
      </c>
      <c r="H37" s="39">
        <f>SUM($C$36:H36)</f>
        <v>782939</v>
      </c>
      <c r="I37" s="38">
        <f>SUM($C$36:I36)</f>
        <v>782939</v>
      </c>
      <c r="J37" s="38">
        <f>SUM($C$36:J36)</f>
        <v>782939</v>
      </c>
      <c r="K37" s="38">
        <f>SUM($C$36:K36)</f>
        <v>782939</v>
      </c>
      <c r="L37" s="38">
        <f>SUM($C$36:L36)</f>
        <v>782939</v>
      </c>
      <c r="M37" s="39">
        <f>SUM($C$36:M36)</f>
        <v>782939</v>
      </c>
      <c r="N37" s="38">
        <f>SUM($C$36:N36)</f>
        <v>782939</v>
      </c>
      <c r="O37" s="39"/>
      <c r="P37"/>
    </row>
    <row r="38" spans="1:16" ht="21" customHeight="1">
      <c r="L38" s="19"/>
      <c r="M38" s="19"/>
      <c r="N38" s="19"/>
      <c r="O38" s="19"/>
    </row>
  </sheetData>
  <mergeCells count="8">
    <mergeCell ref="N2:O3"/>
    <mergeCell ref="K2:M2"/>
    <mergeCell ref="K3:M3"/>
    <mergeCell ref="B34:C34"/>
    <mergeCell ref="B29:C29"/>
    <mergeCell ref="B20:C20"/>
    <mergeCell ref="B9:C9"/>
    <mergeCell ref="B2:D3"/>
  </mergeCells>
  <printOptions horizontalCentered="1"/>
  <pageMargins left="0.4" right="0.4" top="0.4" bottom="0.4" header="0.3" footer="0.3"/>
  <pageSetup fitToHeight="0" orientation="landscape" r:id="rId1"/>
  <headerFooter differentFirst="1">
    <oddFooter>Page &amp;P of &amp;N</oddFooter>
  </headerFooter>
  <ignoredErrors>
    <ignoredError sqref="B2 O31:O33 O22:O28 O11:O19" emptyCellReference="1"/>
    <ignoredError sqref="C36:O37 C7:H7 C6:N6 O7" calculatedColumn="1"/>
    <ignoredError sqref="O6 I7:N7" emptyCellReference="1" calculatedColumn="1"/>
  </ignoredErrors>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sheetPr codeName="Sheet4">
    <tabColor theme="7"/>
    <pageSetUpPr autoPageBreaks="0" fitToPage="1"/>
  </sheetPr>
  <dimension ref="A1:P38"/>
  <sheetViews>
    <sheetView showGridLines="0" workbookViewId="0"/>
  </sheetViews>
  <sheetFormatPr defaultColWidth="9.140625" defaultRowHeight="21" customHeight="1"/>
  <cols>
    <col min="1" max="1" width="4.7109375" style="1" customWidth="1"/>
    <col min="2" max="2" width="33.42578125" style="2" customWidth="1"/>
    <col min="3" max="14" width="14.28515625" style="2" customWidth="1"/>
    <col min="15" max="15" width="16.28515625" style="2" customWidth="1"/>
    <col min="16" max="16" width="4.7109375" style="1" customWidth="1"/>
    <col min="17" max="16384" width="9.140625" style="2"/>
  </cols>
  <sheetData>
    <row r="1" spans="1:16" s="1" customFormat="1" ht="24" customHeight="1">
      <c r="A1" s="46" t="s">
        <v>96</v>
      </c>
      <c r="B1" s="11"/>
      <c r="C1" s="11"/>
      <c r="D1" s="11"/>
      <c r="E1" s="11"/>
      <c r="F1" s="8"/>
      <c r="G1" s="8"/>
      <c r="H1" s="8"/>
      <c r="I1" s="8"/>
      <c r="J1" s="8"/>
      <c r="K1" s="8"/>
      <c r="L1" s="8"/>
      <c r="M1" s="8"/>
      <c r="N1" s="8"/>
      <c r="O1" s="8"/>
      <c r="P1" s="94" t="s">
        <v>47</v>
      </c>
    </row>
    <row r="2" spans="1:16" s="1" customFormat="1" ht="45" customHeight="1">
      <c r="A2" s="44" t="s">
        <v>78</v>
      </c>
      <c r="B2" s="127" t="str">
        <f>'PLANNED EXPENSES'!B2:D3</f>
        <v>Company Name</v>
      </c>
      <c r="C2" s="127"/>
      <c r="D2" s="127"/>
      <c r="E2" s="12"/>
      <c r="F2" s="9"/>
      <c r="G2" s="9"/>
      <c r="H2" s="9"/>
      <c r="I2" s="9"/>
      <c r="J2" s="9"/>
      <c r="K2" s="124" t="str">
        <f>worksheet_title</f>
        <v>Detailed Expense Estimates</v>
      </c>
      <c r="L2" s="124"/>
      <c r="M2" s="124"/>
      <c r="N2" s="123" t="s">
        <v>66</v>
      </c>
      <c r="O2" s="123"/>
      <c r="P2" s="8"/>
    </row>
    <row r="3" spans="1:16" s="1" customFormat="1" ht="30" customHeight="1">
      <c r="A3" s="44" t="s">
        <v>83</v>
      </c>
      <c r="B3" s="127"/>
      <c r="C3" s="127"/>
      <c r="D3" s="127"/>
      <c r="E3" s="13"/>
      <c r="F3" s="10"/>
      <c r="G3" s="10"/>
      <c r="H3" s="10"/>
      <c r="I3" s="10"/>
      <c r="J3" s="10"/>
      <c r="K3" s="129" t="s">
        <v>48</v>
      </c>
      <c r="L3" s="129"/>
      <c r="M3" s="129"/>
      <c r="N3" s="123"/>
      <c r="O3" s="123"/>
      <c r="P3" s="8"/>
    </row>
    <row r="4" spans="1:16" s="14" customFormat="1" ht="49.5" customHeight="1">
      <c r="A4" s="45" t="s">
        <v>97</v>
      </c>
      <c r="B4" s="30" t="s">
        <v>64</v>
      </c>
      <c r="C4" s="31" t="s">
        <v>51</v>
      </c>
      <c r="D4" s="31" t="s">
        <v>52</v>
      </c>
      <c r="E4" s="32" t="s">
        <v>53</v>
      </c>
      <c r="F4" s="31" t="s">
        <v>54</v>
      </c>
      <c r="G4" s="31" t="s">
        <v>55</v>
      </c>
      <c r="H4" s="31" t="s">
        <v>56</v>
      </c>
      <c r="I4" s="32" t="s">
        <v>57</v>
      </c>
      <c r="J4" s="31" t="s">
        <v>58</v>
      </c>
      <c r="K4" s="31" t="s">
        <v>59</v>
      </c>
      <c r="L4" s="31" t="s">
        <v>60</v>
      </c>
      <c r="M4" s="31" t="s">
        <v>61</v>
      </c>
      <c r="N4" s="32" t="s">
        <v>62</v>
      </c>
      <c r="O4" s="31" t="s">
        <v>14</v>
      </c>
    </row>
    <row r="5" spans="1:16" ht="24.95" customHeight="1" thickBot="1">
      <c r="A5" s="45" t="s">
        <v>98</v>
      </c>
      <c r="B5" s="84" t="s">
        <v>15</v>
      </c>
      <c r="C5" s="109" t="s">
        <v>2</v>
      </c>
      <c r="D5" s="109" t="s">
        <v>3</v>
      </c>
      <c r="E5" s="110" t="s">
        <v>4</v>
      </c>
      <c r="F5" s="109" t="s">
        <v>5</v>
      </c>
      <c r="G5" s="109" t="s">
        <v>6</v>
      </c>
      <c r="H5" s="109" t="s">
        <v>7</v>
      </c>
      <c r="I5" s="109" t="s">
        <v>8</v>
      </c>
      <c r="J5" s="109" t="s">
        <v>9</v>
      </c>
      <c r="K5" s="109" t="s">
        <v>10</v>
      </c>
      <c r="L5" s="109" t="s">
        <v>11</v>
      </c>
      <c r="M5" s="109" t="s">
        <v>12</v>
      </c>
      <c r="N5" s="109" t="s">
        <v>13</v>
      </c>
      <c r="O5" s="111" t="s">
        <v>14</v>
      </c>
    </row>
    <row r="6" spans="1:16" ht="24.95" customHeight="1" thickBot="1">
      <c r="A6" s="45"/>
      <c r="B6" s="59" t="s">
        <v>16</v>
      </c>
      <c r="C6" s="82">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6" s="81">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6" s="81">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6" s="81">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-500</v>
      </c>
      <c r="G6" s="81">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-500</v>
      </c>
      <c r="H6" s="81">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-500</v>
      </c>
      <c r="I6" s="81">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87500</v>
      </c>
      <c r="J6" s="81">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92400</v>
      </c>
      <c r="K6" s="81">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92400</v>
      </c>
      <c r="L6" s="81">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92400</v>
      </c>
      <c r="M6" s="81">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92400</v>
      </c>
      <c r="N6" s="81">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92400</v>
      </c>
      <c r="O6" s="87">
        <f>SUM(EmployeeVariances[[#This Row],[Jan]:[Dec]])</f>
        <v>548000</v>
      </c>
    </row>
    <row r="7" spans="1:16" ht="24.95" customHeight="1" thickBot="1">
      <c r="A7" s="45"/>
      <c r="B7" s="59" t="s">
        <v>17</v>
      </c>
      <c r="C7" s="82">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7" s="81">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7" s="81">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7" s="81">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-135</v>
      </c>
      <c r="G7" s="81">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-135</v>
      </c>
      <c r="H7" s="81">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-135</v>
      </c>
      <c r="I7" s="81">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23625</v>
      </c>
      <c r="J7" s="81">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24948</v>
      </c>
      <c r="K7" s="81">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24948</v>
      </c>
      <c r="L7" s="81">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24948</v>
      </c>
      <c r="M7" s="81">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24948</v>
      </c>
      <c r="N7" s="81">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24948</v>
      </c>
      <c r="O7" s="87">
        <f>SUM(EmployeeVariances[[#This Row],[Jan]:[Dec]])</f>
        <v>147960</v>
      </c>
    </row>
    <row r="8" spans="1:16" ht="24.95" customHeight="1">
      <c r="A8" s="45"/>
      <c r="B8" s="112" t="s">
        <v>18</v>
      </c>
      <c r="C8" s="97">
        <f>SUBTOTAL(109,[Jan])</f>
        <v>0</v>
      </c>
      <c r="D8" s="97">
        <f>SUBTOTAL(109,[Feb])</f>
        <v>0</v>
      </c>
      <c r="E8" s="97">
        <f>SUBTOTAL(109,[Mar])</f>
        <v>0</v>
      </c>
      <c r="F8" s="97">
        <f>SUBTOTAL(109,[Apr])</f>
        <v>-635</v>
      </c>
      <c r="G8" s="97">
        <f>SUBTOTAL(109,[May])</f>
        <v>-635</v>
      </c>
      <c r="H8" s="97">
        <f>SUBTOTAL(109,[Jun])</f>
        <v>-635</v>
      </c>
      <c r="I8" s="97">
        <f>SUBTOTAL(109,[Jul])</f>
        <v>111125</v>
      </c>
      <c r="J8" s="97">
        <f>SUBTOTAL(109,[Aug])</f>
        <v>117348</v>
      </c>
      <c r="K8" s="97">
        <f>SUBTOTAL(109,[Sep])</f>
        <v>117348</v>
      </c>
      <c r="L8" s="97">
        <f>SUBTOTAL(109,[Oct])</f>
        <v>117348</v>
      </c>
      <c r="M8" s="97">
        <f>SUBTOTAL(109,[Nov])</f>
        <v>117348</v>
      </c>
      <c r="N8" s="97">
        <f>SUBTOTAL(109,[Dec])</f>
        <v>117348</v>
      </c>
      <c r="O8" s="101">
        <f>SUBTOTAL(109,[YEAR])</f>
        <v>695960</v>
      </c>
    </row>
    <row r="9" spans="1:16" ht="21" customHeight="1">
      <c r="A9" s="45"/>
      <c r="B9" s="125"/>
      <c r="C9" s="125"/>
      <c r="D9" s="3"/>
      <c r="E9" s="3"/>
      <c r="F9" s="3"/>
      <c r="G9" s="3"/>
      <c r="H9" s="3"/>
      <c r="I9" s="3"/>
      <c r="J9" s="3"/>
      <c r="K9" s="3"/>
      <c r="L9" s="3"/>
      <c r="M9" s="3"/>
      <c r="N9" s="3"/>
      <c r="O9" s="4"/>
    </row>
    <row r="10" spans="1:16" ht="24.95" customHeight="1" thickBot="1">
      <c r="A10" s="45" t="s">
        <v>99</v>
      </c>
      <c r="B10" s="63" t="s">
        <v>19</v>
      </c>
      <c r="C10" s="64" t="s">
        <v>2</v>
      </c>
      <c r="D10" s="64" t="s">
        <v>3</v>
      </c>
      <c r="E10" s="65" t="s">
        <v>4</v>
      </c>
      <c r="F10" s="64" t="s">
        <v>5</v>
      </c>
      <c r="G10" s="64" t="s">
        <v>6</v>
      </c>
      <c r="H10" s="64" t="s">
        <v>7</v>
      </c>
      <c r="I10" s="64" t="s">
        <v>8</v>
      </c>
      <c r="J10" s="64" t="s">
        <v>9</v>
      </c>
      <c r="K10" s="64" t="s">
        <v>10</v>
      </c>
      <c r="L10" s="64" t="s">
        <v>11</v>
      </c>
      <c r="M10" s="64" t="s">
        <v>12</v>
      </c>
      <c r="N10" s="64" t="s">
        <v>13</v>
      </c>
      <c r="O10" s="66" t="s">
        <v>14</v>
      </c>
    </row>
    <row r="11" spans="1:16" ht="24.95" customHeight="1" thickBot="1">
      <c r="A11" s="45"/>
      <c r="B11" s="95" t="s">
        <v>20</v>
      </c>
      <c r="C11"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1"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1"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1"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1"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1"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1"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9800</v>
      </c>
      <c r="J11"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9800</v>
      </c>
      <c r="K11"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9800</v>
      </c>
      <c r="L11"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9800</v>
      </c>
      <c r="M11"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9800</v>
      </c>
      <c r="N11"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9800</v>
      </c>
      <c r="O11" s="87">
        <f>SUM(OfficeVariances[[#This Row],[Jan]:[Dec]])</f>
        <v>58800</v>
      </c>
    </row>
    <row r="12" spans="1:16" ht="24.95" customHeight="1" thickBot="1">
      <c r="A12" s="45"/>
      <c r="B12" s="95" t="s">
        <v>21</v>
      </c>
      <c r="C12"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-4</v>
      </c>
      <c r="D12"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-30</v>
      </c>
      <c r="E12"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2"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-130</v>
      </c>
      <c r="G12"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13</v>
      </c>
      <c r="H12"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12</v>
      </c>
      <c r="I12"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100</v>
      </c>
      <c r="J12"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100</v>
      </c>
      <c r="K12"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100</v>
      </c>
      <c r="L12"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100</v>
      </c>
      <c r="M12"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400</v>
      </c>
      <c r="N12"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400</v>
      </c>
      <c r="O12" s="87">
        <f>SUM(OfficeVariances[[#This Row],[Jan]:[Dec]])</f>
        <v>1076</v>
      </c>
    </row>
    <row r="13" spans="1:16" ht="24.95" customHeight="1" thickBot="1">
      <c r="A13" s="45"/>
      <c r="B13" s="95" t="s">
        <v>22</v>
      </c>
      <c r="C13"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12</v>
      </c>
      <c r="D13"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22</v>
      </c>
      <c r="E13"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32</v>
      </c>
      <c r="F13"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v>
      </c>
      <c r="G13"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3"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10</v>
      </c>
      <c r="I13"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300</v>
      </c>
      <c r="J13"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300</v>
      </c>
      <c r="K13"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300</v>
      </c>
      <c r="L13"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300</v>
      </c>
      <c r="M13"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300</v>
      </c>
      <c r="N13"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300</v>
      </c>
      <c r="O13" s="87">
        <f>SUM(OfficeVariances[[#This Row],[Jan]:[Dec]])</f>
        <v>1871</v>
      </c>
    </row>
    <row r="14" spans="1:16" ht="24.95" customHeight="1" thickBot="1">
      <c r="A14" s="45"/>
      <c r="B14" s="95" t="s">
        <v>23</v>
      </c>
      <c r="C14"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v>
      </c>
      <c r="D14"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7</v>
      </c>
      <c r="E14"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6</v>
      </c>
      <c r="F14"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4</v>
      </c>
      <c r="G14"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4"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v>
      </c>
      <c r="I14"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40</v>
      </c>
      <c r="J14"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40</v>
      </c>
      <c r="K14"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40</v>
      </c>
      <c r="L14"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40</v>
      </c>
      <c r="M14"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v>
      </c>
      <c r="N14"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v>
      </c>
      <c r="O14" s="87">
        <f>SUM(OfficeVariances[[#This Row],[Jan]:[Dec]])</f>
        <v>272</v>
      </c>
    </row>
    <row r="15" spans="1:16" ht="24.95" customHeight="1" thickBot="1">
      <c r="A15" s="45"/>
      <c r="B15" s="95" t="s">
        <v>24</v>
      </c>
      <c r="C15"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26</v>
      </c>
      <c r="D15"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15</v>
      </c>
      <c r="E15"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5"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5</v>
      </c>
      <c r="G15"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v>
      </c>
      <c r="H15"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30</v>
      </c>
      <c r="I15"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250</v>
      </c>
      <c r="J15"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250</v>
      </c>
      <c r="K15"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250</v>
      </c>
      <c r="L15"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250</v>
      </c>
      <c r="M15"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250</v>
      </c>
      <c r="N15"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250</v>
      </c>
      <c r="O15" s="87">
        <f>SUM(OfficeVariances[[#This Row],[Jan]:[Dec]])</f>
        <v>1566</v>
      </c>
    </row>
    <row r="16" spans="1:16" ht="24.95" customHeight="1" thickBot="1">
      <c r="A16" s="45"/>
      <c r="B16" s="95" t="s">
        <v>25</v>
      </c>
      <c r="C16"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6"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6"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6"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6"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6"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6"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180</v>
      </c>
      <c r="J16"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180</v>
      </c>
      <c r="K16"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180</v>
      </c>
      <c r="L16"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180</v>
      </c>
      <c r="M16"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180</v>
      </c>
      <c r="N16"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180</v>
      </c>
      <c r="O16" s="87">
        <f>SUM(OfficeVariances[[#This Row],[Jan]:[Dec]])</f>
        <v>1080</v>
      </c>
    </row>
    <row r="17" spans="1:15" ht="24.95" customHeight="1" thickBot="1">
      <c r="A17" s="45"/>
      <c r="B17" s="95" t="s">
        <v>26</v>
      </c>
      <c r="C17"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-56</v>
      </c>
      <c r="D17"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58</v>
      </c>
      <c r="E17"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40</v>
      </c>
      <c r="F17"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-21</v>
      </c>
      <c r="G17"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-56</v>
      </c>
      <c r="H17"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-40</v>
      </c>
      <c r="I17"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200</v>
      </c>
      <c r="J17"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200</v>
      </c>
      <c r="K17"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200</v>
      </c>
      <c r="L17"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200</v>
      </c>
      <c r="M17"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200</v>
      </c>
      <c r="N17"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200</v>
      </c>
      <c r="O17" s="87">
        <f>SUM(OfficeVariances[[#This Row],[Jan]:[Dec]])</f>
        <v>1125</v>
      </c>
    </row>
    <row r="18" spans="1:15" ht="24.95" customHeight="1" thickBot="1">
      <c r="A18" s="45"/>
      <c r="B18" s="95" t="s">
        <v>27</v>
      </c>
      <c r="C18" s="81">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8" s="81">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8" s="81">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8" s="81">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8" s="81">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8" s="81">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8" s="81">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600</v>
      </c>
      <c r="J18" s="81">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600</v>
      </c>
      <c r="K18" s="81">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600</v>
      </c>
      <c r="L18" s="81">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600</v>
      </c>
      <c r="M18" s="81">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600</v>
      </c>
      <c r="N18" s="81">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600</v>
      </c>
      <c r="O18" s="87">
        <f>SUM(OfficeVariances[[#This Row],[Jan]:[Dec]])</f>
        <v>3600</v>
      </c>
    </row>
    <row r="19" spans="1:15" ht="24.95" customHeight="1">
      <c r="A19" s="45"/>
      <c r="B19" s="114" t="s">
        <v>18</v>
      </c>
      <c r="C19" s="115">
        <f>SUBTOTAL(109,[Jan])</f>
        <v>-17</v>
      </c>
      <c r="D19" s="97">
        <f>SUBTOTAL(109,[Feb])</f>
        <v>72</v>
      </c>
      <c r="E19" s="97">
        <f>SUBTOTAL(109,[Mar])</f>
        <v>78</v>
      </c>
      <c r="F19" s="97">
        <f>SUBTOTAL(109,[Apr])</f>
        <v>-141</v>
      </c>
      <c r="G19" s="97">
        <f>SUBTOTAL(109,[May])</f>
        <v>-38</v>
      </c>
      <c r="H19" s="97">
        <f>SUBTOTAL(109,[Jun])</f>
        <v>16</v>
      </c>
      <c r="I19" s="97">
        <f>SUBTOTAL(109,[Jul])</f>
        <v>11470</v>
      </c>
      <c r="J19" s="97">
        <f>SUBTOTAL(109,[Aug])</f>
        <v>11470</v>
      </c>
      <c r="K19" s="97">
        <f>SUBTOTAL(109,[Sep])</f>
        <v>11470</v>
      </c>
      <c r="L19" s="97">
        <f>SUBTOTAL(109,[Oct])</f>
        <v>11470</v>
      </c>
      <c r="M19" s="97">
        <f>SUBTOTAL(109,[Nov])</f>
        <v>11770</v>
      </c>
      <c r="N19" s="97">
        <f>SUBTOTAL(109,[Dec])</f>
        <v>11770</v>
      </c>
      <c r="O19" s="101">
        <f>SUBTOTAL(109,[YEAR])</f>
        <v>69390</v>
      </c>
    </row>
    <row r="20" spans="1:15" ht="21" customHeight="1">
      <c r="A20" s="45"/>
      <c r="B20" s="126"/>
      <c r="C20" s="126"/>
      <c r="D20" s="3"/>
      <c r="E20" s="3"/>
      <c r="F20" s="5"/>
      <c r="G20" s="5"/>
      <c r="H20" s="5"/>
      <c r="I20" s="5"/>
      <c r="J20" s="5"/>
      <c r="K20" s="5"/>
      <c r="L20" s="5"/>
      <c r="M20" s="5"/>
      <c r="N20" s="5"/>
      <c r="O20" s="4"/>
    </row>
    <row r="21" spans="1:15" ht="24.95" customHeight="1" thickBot="1">
      <c r="A21" s="45" t="s">
        <v>100</v>
      </c>
      <c r="B21" s="80" t="s">
        <v>28</v>
      </c>
      <c r="C21" s="64" t="s">
        <v>2</v>
      </c>
      <c r="D21" s="64" t="s">
        <v>3</v>
      </c>
      <c r="E21" s="65" t="s">
        <v>4</v>
      </c>
      <c r="F21" s="64" t="s">
        <v>5</v>
      </c>
      <c r="G21" s="64" t="s">
        <v>6</v>
      </c>
      <c r="H21" s="64" t="s">
        <v>7</v>
      </c>
      <c r="I21" s="64" t="s">
        <v>8</v>
      </c>
      <c r="J21" s="64" t="s">
        <v>9</v>
      </c>
      <c r="K21" s="64" t="s">
        <v>10</v>
      </c>
      <c r="L21" s="64" t="s">
        <v>11</v>
      </c>
      <c r="M21" s="64" t="s">
        <v>12</v>
      </c>
      <c r="N21" s="64" t="s">
        <v>13</v>
      </c>
      <c r="O21" s="66" t="s">
        <v>14</v>
      </c>
    </row>
    <row r="22" spans="1:15" ht="24.95" customHeight="1" thickBot="1">
      <c r="A22" s="45"/>
      <c r="B22" s="95" t="s">
        <v>29</v>
      </c>
      <c r="C22" s="81">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2" s="81">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2" s="81">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2" s="81">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2" s="81">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2" s="81">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2" s="81">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v>
      </c>
      <c r="J22" s="81">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v>
      </c>
      <c r="K22" s="81">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500</v>
      </c>
      <c r="L22" s="81">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v>
      </c>
      <c r="M22" s="81">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500</v>
      </c>
      <c r="N22" s="81">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v>
      </c>
      <c r="O22" s="87">
        <f>SUM(MarketingVariances[[#This Row],[Jan]:[Dec]])</f>
        <v>3000</v>
      </c>
    </row>
    <row r="23" spans="1:15" ht="24.95" customHeight="1" thickBot="1">
      <c r="A23" s="45"/>
      <c r="B23" s="95" t="s">
        <v>30</v>
      </c>
      <c r="C23" s="81">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3" s="81">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3" s="81">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3" s="81">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3" s="81">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3" s="81">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-500</v>
      </c>
      <c r="I23" s="81">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3" s="81">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3" s="81">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3" s="81">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3" s="81">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3" s="81">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1000</v>
      </c>
      <c r="O23" s="87">
        <f>SUM(MarketingVariances[[#This Row],[Jan]:[Dec]])</f>
        <v>1500</v>
      </c>
    </row>
    <row r="24" spans="1:15" ht="24.95" customHeight="1" thickBot="1">
      <c r="A24" s="45"/>
      <c r="B24" s="95" t="s">
        <v>31</v>
      </c>
      <c r="C24" s="81">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4" s="81">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4" s="81">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4" s="81">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-500</v>
      </c>
      <c r="G24" s="81">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4" s="81">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4" s="81">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5000</v>
      </c>
      <c r="J24" s="81">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0</v>
      </c>
      <c r="K24" s="81">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0</v>
      </c>
      <c r="L24" s="81">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5000</v>
      </c>
      <c r="M24" s="81">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0</v>
      </c>
      <c r="N24" s="81">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0</v>
      </c>
      <c r="O24" s="87">
        <f>SUM(MarketingVariances[[#This Row],[Jan]:[Dec]])</f>
        <v>9700</v>
      </c>
    </row>
    <row r="25" spans="1:15" ht="24.95" customHeight="1" thickBot="1">
      <c r="A25" s="45"/>
      <c r="B25" s="95" t="s">
        <v>32</v>
      </c>
      <c r="C25" s="81">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100</v>
      </c>
      <c r="D25" s="81">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-300</v>
      </c>
      <c r="E25" s="81">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100</v>
      </c>
      <c r="F25" s="81">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100</v>
      </c>
      <c r="G25" s="81">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-400</v>
      </c>
      <c r="H25" s="81">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20</v>
      </c>
      <c r="I25" s="81">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5" s="81">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5" s="81">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5" s="81">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5" s="81">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5" s="81">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5" s="87">
        <f>SUM(MarketingVariances[[#This Row],[Jan]:[Dec]])</f>
        <v>820</v>
      </c>
    </row>
    <row r="26" spans="1:15" ht="24.95" customHeight="1" thickBot="1">
      <c r="A26" s="45"/>
      <c r="B26" s="95" t="s">
        <v>33</v>
      </c>
      <c r="C26" s="81">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6" s="81">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-200</v>
      </c>
      <c r="E26" s="81">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-200</v>
      </c>
      <c r="F26" s="81">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300</v>
      </c>
      <c r="G26" s="81">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500</v>
      </c>
      <c r="H26" s="81">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-300</v>
      </c>
      <c r="I26" s="81">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2000</v>
      </c>
      <c r="J26" s="81">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5000</v>
      </c>
      <c r="K26" s="81">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2000</v>
      </c>
      <c r="L26" s="81">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2000</v>
      </c>
      <c r="M26" s="81">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2000</v>
      </c>
      <c r="N26" s="81">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5000</v>
      </c>
      <c r="O26" s="87">
        <f>SUM(MarketingVariances[[#This Row],[Jan]:[Dec]])</f>
        <v>18300</v>
      </c>
    </row>
    <row r="27" spans="1:15" ht="24.95" customHeight="1" thickBot="1">
      <c r="A27" s="45"/>
      <c r="B27" s="95" t="s">
        <v>34</v>
      </c>
      <c r="C27" s="81">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55</v>
      </c>
      <c r="D27" s="81">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44</v>
      </c>
      <c r="E27" s="81">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77</v>
      </c>
      <c r="F27" s="81">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-23</v>
      </c>
      <c r="G27" s="81">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13</v>
      </c>
      <c r="H27" s="81">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-45</v>
      </c>
      <c r="I27" s="81">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7" s="81">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7" s="81">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7" s="81">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7" s="81">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7" s="81">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7" s="87">
        <f>SUM(MarketingVariances[[#This Row],[Jan]:[Dec]])</f>
        <v>1321</v>
      </c>
    </row>
    <row r="28" spans="1:15" ht="24.95" customHeight="1">
      <c r="A28" s="45"/>
      <c r="B28" s="113" t="s">
        <v>18</v>
      </c>
      <c r="C28" s="97">
        <f>SUBTOTAL(109,[Jan])</f>
        <v>555</v>
      </c>
      <c r="D28" s="97">
        <f>SUBTOTAL(109,[Feb])</f>
        <v>-456</v>
      </c>
      <c r="E28" s="97">
        <f>SUBTOTAL(109,[Mar])</f>
        <v>-23</v>
      </c>
      <c r="F28" s="97">
        <f>SUBTOTAL(109,[Apr])</f>
        <v>-123</v>
      </c>
      <c r="G28" s="97">
        <f>SUBTOTAL(109,[May])</f>
        <v>113</v>
      </c>
      <c r="H28" s="97">
        <f>SUBTOTAL(109,[Jun])</f>
        <v>-825</v>
      </c>
      <c r="I28" s="97">
        <f>SUBTOTAL(109,[Jul])</f>
        <v>8100</v>
      </c>
      <c r="J28" s="97">
        <f>SUBTOTAL(109,[Aug])</f>
        <v>6100</v>
      </c>
      <c r="K28" s="97">
        <f>SUBTOTAL(109,[Sep])</f>
        <v>3100</v>
      </c>
      <c r="L28" s="97">
        <f>SUBTOTAL(109,[Oct])</f>
        <v>8100</v>
      </c>
      <c r="M28" s="97">
        <f>SUBTOTAL(109,[Nov])</f>
        <v>3100</v>
      </c>
      <c r="N28" s="97">
        <f>SUBTOTAL(109,[Dec])</f>
        <v>6900</v>
      </c>
      <c r="O28" s="101">
        <f>SUBTOTAL(109,[YEAR])</f>
        <v>34641</v>
      </c>
    </row>
    <row r="29" spans="1:15" ht="21" customHeight="1">
      <c r="A29" s="45"/>
      <c r="B29" s="125"/>
      <c r="C29" s="125"/>
      <c r="D29" s="5"/>
      <c r="E29" s="5"/>
      <c r="F29" s="5"/>
      <c r="G29" s="5"/>
      <c r="H29" s="5"/>
      <c r="I29" s="5"/>
      <c r="J29" s="5"/>
      <c r="K29" s="5"/>
      <c r="L29" s="5"/>
      <c r="M29" s="5"/>
      <c r="N29" s="5"/>
      <c r="O29" s="4"/>
    </row>
    <row r="30" spans="1:15" ht="24.95" customHeight="1" thickBot="1">
      <c r="A30" s="45" t="s">
        <v>101</v>
      </c>
      <c r="B30" s="84" t="s">
        <v>35</v>
      </c>
      <c r="C30" s="64" t="s">
        <v>2</v>
      </c>
      <c r="D30" s="64" t="s">
        <v>3</v>
      </c>
      <c r="E30" s="65" t="s">
        <v>4</v>
      </c>
      <c r="F30" s="64" t="s">
        <v>5</v>
      </c>
      <c r="G30" s="64" t="s">
        <v>6</v>
      </c>
      <c r="H30" s="64" t="s">
        <v>7</v>
      </c>
      <c r="I30" s="64" t="s">
        <v>8</v>
      </c>
      <c r="J30" s="64" t="s">
        <v>9</v>
      </c>
      <c r="K30" s="64" t="s">
        <v>10</v>
      </c>
      <c r="L30" s="64" t="s">
        <v>11</v>
      </c>
      <c r="M30" s="64" t="s">
        <v>12</v>
      </c>
      <c r="N30" s="64" t="s">
        <v>13</v>
      </c>
      <c r="O30" s="66" t="s">
        <v>14</v>
      </c>
    </row>
    <row r="31" spans="1:15" ht="24.95" customHeight="1" thickBot="1">
      <c r="A31" s="45"/>
      <c r="B31" s="95" t="s">
        <v>36</v>
      </c>
      <c r="C31" s="81">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400</v>
      </c>
      <c r="D31" s="81">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-400</v>
      </c>
      <c r="E31" s="81">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1" s="81">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400</v>
      </c>
      <c r="G31" s="81">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800</v>
      </c>
      <c r="H31" s="81">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-800</v>
      </c>
      <c r="I31" s="81">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1" s="81">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1" s="81">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1" s="81">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1" s="81">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1" s="81">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1" s="87">
        <f>SUM(TrainingAndTravelVariances[[#This Row],[Jan]:[Dec]])</f>
        <v>13000</v>
      </c>
    </row>
    <row r="32" spans="1:15" ht="24.95" customHeight="1" thickBot="1">
      <c r="A32" s="45"/>
      <c r="B32" s="95" t="s">
        <v>37</v>
      </c>
      <c r="C32" s="81">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800</v>
      </c>
      <c r="D32" s="81">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-200</v>
      </c>
      <c r="E32" s="81">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2" s="81">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800</v>
      </c>
      <c r="G32" s="81">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1200</v>
      </c>
      <c r="H32" s="81">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-1500</v>
      </c>
      <c r="I32" s="81">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2" s="81">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2" s="81">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2" s="81">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2" s="81">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2" s="81">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2" s="87">
        <f>SUM(TrainingAndTravelVariances[[#This Row],[Jan]:[Dec]])</f>
        <v>13700</v>
      </c>
    </row>
    <row r="33" spans="1:15" ht="24.95" customHeight="1">
      <c r="A33" s="45"/>
      <c r="B33" s="116" t="s">
        <v>18</v>
      </c>
      <c r="C33" s="97">
        <f>SUBTOTAL(109,[Jan])</f>
        <v>1200</v>
      </c>
      <c r="D33" s="97">
        <f>SUBTOTAL(109,[Feb])</f>
        <v>-600</v>
      </c>
      <c r="E33" s="97">
        <f>SUBTOTAL(109,[Mar])</f>
        <v>1200</v>
      </c>
      <c r="F33" s="97">
        <f>SUBTOTAL(109,[Apr])</f>
        <v>1200</v>
      </c>
      <c r="G33" s="97">
        <f>SUBTOTAL(109,[May])</f>
        <v>2000</v>
      </c>
      <c r="H33" s="97">
        <f>SUBTOTAL(109,[Jun])</f>
        <v>-2300</v>
      </c>
      <c r="I33" s="97">
        <f>SUBTOTAL(109,[Jul])</f>
        <v>4000</v>
      </c>
      <c r="J33" s="97">
        <f>SUBTOTAL(109,[Aug])</f>
        <v>4000</v>
      </c>
      <c r="K33" s="97">
        <f>SUBTOTAL(109,[Sep])</f>
        <v>4000</v>
      </c>
      <c r="L33" s="97">
        <f>SUBTOTAL(109,[Oct])</f>
        <v>4000</v>
      </c>
      <c r="M33" s="97">
        <f>SUBTOTAL(109,[Nov])</f>
        <v>4000</v>
      </c>
      <c r="N33" s="97">
        <f>SUBTOTAL(109,[Dec])</f>
        <v>4000</v>
      </c>
      <c r="O33" s="101">
        <f>SUBTOTAL(109,[YEAR])</f>
        <v>26700</v>
      </c>
    </row>
    <row r="34" spans="1:15" ht="21" customHeight="1">
      <c r="A34" s="45"/>
      <c r="B34" s="125"/>
      <c r="C34" s="125"/>
      <c r="D34" s="4"/>
      <c r="E34" s="4"/>
      <c r="F34" s="4"/>
      <c r="G34" s="4"/>
      <c r="H34" s="4"/>
      <c r="I34" s="4"/>
      <c r="J34" s="4"/>
      <c r="K34" s="4"/>
      <c r="L34" s="4"/>
      <c r="M34" s="4"/>
      <c r="N34" s="4"/>
      <c r="O34" s="4"/>
    </row>
    <row r="35" spans="1:15" ht="24.95" customHeight="1" thickBot="1">
      <c r="A35" s="54" t="s">
        <v>102</v>
      </c>
      <c r="B35" s="17" t="s">
        <v>38</v>
      </c>
      <c r="C35" s="40" t="s">
        <v>2</v>
      </c>
      <c r="D35" s="40" t="s">
        <v>3</v>
      </c>
      <c r="E35" s="40" t="s">
        <v>4</v>
      </c>
      <c r="F35" s="40" t="s">
        <v>5</v>
      </c>
      <c r="G35" s="40" t="s">
        <v>6</v>
      </c>
      <c r="H35" s="40" t="s">
        <v>7</v>
      </c>
      <c r="I35" s="40" t="s">
        <v>8</v>
      </c>
      <c r="J35" s="40" t="s">
        <v>9</v>
      </c>
      <c r="K35" s="40" t="s">
        <v>10</v>
      </c>
      <c r="L35" s="40" t="s">
        <v>11</v>
      </c>
      <c r="M35" s="40" t="s">
        <v>12</v>
      </c>
      <c r="N35" s="40" t="s">
        <v>13</v>
      </c>
      <c r="O35" s="40" t="s">
        <v>65</v>
      </c>
    </row>
    <row r="36" spans="1:15" ht="24.95" customHeight="1" thickBot="1">
      <c r="A36" s="45"/>
      <c r="B36" s="18" t="s">
        <v>42</v>
      </c>
      <c r="C36" s="21">
        <f>TrainingAndTravelVariances[[#Totals],[Jan]]+MarketingVariances[[#Totals],[Jan]]+OfficeVariances[[#Totals],[Jan]]+EmployeeVariances[[#Totals],[Jan]]</f>
        <v>1738</v>
      </c>
      <c r="D36" s="21">
        <f>TrainingAndTravelVariances[[#Totals],[Feb]]+MarketingVariances[[#Totals],[Feb]]+OfficeVariances[[#Totals],[Feb]]+EmployeeVariances[[#Totals],[Feb]]</f>
        <v>-984</v>
      </c>
      <c r="E36" s="21">
        <f>TrainingAndTravelVariances[[#Totals],[Mar]]+MarketingVariances[[#Totals],[Mar]]+OfficeVariances[[#Totals],[Mar]]+EmployeeVariances[[#Totals],[Mar]]</f>
        <v>1255</v>
      </c>
      <c r="F36" s="21">
        <f>TrainingAndTravelVariances[[#Totals],[Apr]]+MarketingVariances[[#Totals],[Apr]]+OfficeVariances[[#Totals],[Apr]]+EmployeeVariances[[#Totals],[Apr]]</f>
        <v>301</v>
      </c>
      <c r="G36" s="21">
        <f>TrainingAndTravelVariances[[#Totals],[May]]+MarketingVariances[[#Totals],[May]]+OfficeVariances[[#Totals],[May]]+EmployeeVariances[[#Totals],[May]]</f>
        <v>1440</v>
      </c>
      <c r="H36" s="21">
        <f>TrainingAndTravelVariances[[#Totals],[Jun]]+MarketingVariances[[#Totals],[Jun]]+OfficeVariances[[#Totals],[Jun]]+EmployeeVariances[[#Totals],[Jun]]</f>
        <v>-3744</v>
      </c>
      <c r="I36" s="21">
        <f>TrainingAndTravelVariances[[#Totals],[Jul]]+MarketingVariances[[#Totals],[Jul]]+OfficeVariances[[#Totals],[Jul]]+EmployeeVariances[[#Totals],[Jul]]</f>
        <v>134695</v>
      </c>
      <c r="J36" s="21">
        <f>TrainingAndTravelVariances[[#Totals],[Aug]]+MarketingVariances[[#Totals],[Aug]]+OfficeVariances[[#Totals],[Aug]]+EmployeeVariances[[#Totals],[Aug]]</f>
        <v>138918</v>
      </c>
      <c r="K36" s="21">
        <f>TrainingAndTravelVariances[[#Totals],[Sep]]+MarketingVariances[[#Totals],[Sep]]+OfficeVariances[[#Totals],[Sep]]+EmployeeVariances[[#Totals],[Sep]]</f>
        <v>135918</v>
      </c>
      <c r="L36" s="21">
        <f>TrainingAndTravelVariances[[#Totals],[Oct]]+MarketingVariances[[#Totals],[Oct]]+OfficeVariances[[#Totals],[Oct]]+EmployeeVariances[[#Totals],[Oct]]</f>
        <v>140918</v>
      </c>
      <c r="M36" s="21">
        <f>TrainingAndTravelVariances[[#Totals],[Nov]]+MarketingVariances[[#Totals],[Nov]]+OfficeVariances[[#Totals],[Nov]]+EmployeeVariances[[#Totals],[Nov]]</f>
        <v>136218</v>
      </c>
      <c r="N36" s="21">
        <f>TrainingAndTravelVariances[[#Totals],[Dec]]+MarketingVariances[[#Totals],[Dec]]+OfficeVariances[[#Totals],[Dec]]+EmployeeVariances[[#Totals],[Dec]]</f>
        <v>140018</v>
      </c>
      <c r="O36" s="21">
        <f>TrainingAndTravelVariances[[#Totals],[YEAR]]+MarketingVariances[[#Totals],[YEAR]]+OfficeVariances[[#Totals],[YEAR]]+EmployeeVariances[[#Totals],[YEAR]]</f>
        <v>826691</v>
      </c>
    </row>
    <row r="37" spans="1:15" ht="24.95" customHeight="1" thickBot="1">
      <c r="A37" s="45"/>
      <c r="B37" s="18" t="s">
        <v>43</v>
      </c>
      <c r="C37" s="41">
        <f>SUM($C$36:C36)</f>
        <v>1738</v>
      </c>
      <c r="D37" s="41">
        <f>SUM($C$36:D36)</f>
        <v>754</v>
      </c>
      <c r="E37" s="41">
        <f>SUM($C$36:E36)</f>
        <v>2009</v>
      </c>
      <c r="F37" s="41">
        <f>SUM($C$36:F36)</f>
        <v>2310</v>
      </c>
      <c r="G37" s="41">
        <f>SUM($C$36:G36)</f>
        <v>3750</v>
      </c>
      <c r="H37" s="41">
        <f>SUM($C$36:H36)</f>
        <v>6</v>
      </c>
      <c r="I37" s="41">
        <f>SUM($C$36:I36)</f>
        <v>134701</v>
      </c>
      <c r="J37" s="41">
        <f>SUM($C$36:J36)</f>
        <v>273619</v>
      </c>
      <c r="K37" s="41">
        <f>SUM($C$36:K36)</f>
        <v>409537</v>
      </c>
      <c r="L37" s="41">
        <f>SUM($C$36:L36)</f>
        <v>550455</v>
      </c>
      <c r="M37" s="41">
        <f>SUM($C$36:M36)</f>
        <v>686673</v>
      </c>
      <c r="N37" s="41">
        <f>SUM($C$36:N36)</f>
        <v>826691</v>
      </c>
      <c r="O37" s="41"/>
    </row>
    <row r="38" spans="1:15" ht="21" customHeight="1">
      <c r="A38" s="45"/>
      <c r="D38" s="19"/>
    </row>
  </sheetData>
  <mergeCells count="8">
    <mergeCell ref="N2:O3"/>
    <mergeCell ref="K2:M2"/>
    <mergeCell ref="K3:M3"/>
    <mergeCell ref="B34:C34"/>
    <mergeCell ref="B29:C29"/>
    <mergeCell ref="B20:C20"/>
    <mergeCell ref="B9:C9"/>
    <mergeCell ref="B2:D3"/>
  </mergeCells>
  <conditionalFormatting sqref="C6:O8">
    <cfRule type="cellIs" dxfId="135" priority="5" operator="lessThan">
      <formula>0</formula>
    </cfRule>
  </conditionalFormatting>
  <conditionalFormatting sqref="C11:O19">
    <cfRule type="cellIs" dxfId="134" priority="4" operator="lessThan">
      <formula>0</formula>
    </cfRule>
  </conditionalFormatting>
  <conditionalFormatting sqref="C22:O28">
    <cfRule type="cellIs" dxfId="133" priority="3" operator="lessThan">
      <formula>0</formula>
    </cfRule>
  </conditionalFormatting>
  <conditionalFormatting sqref="C31:O33">
    <cfRule type="cellIs" dxfId="132" priority="2" operator="lessThan">
      <formula>0</formula>
    </cfRule>
  </conditionalFormatting>
  <conditionalFormatting sqref="C36:O37">
    <cfRule type="cellIs" dxfId="131" priority="1" operator="lessThan">
      <formula>0</formula>
    </cfRule>
  </conditionalFormatting>
  <printOptions horizontalCentered="1"/>
  <pageMargins left="0.4" right="0.4" top="0.4" bottom="0.4" header="0.3" footer="0.3"/>
  <pageSetup fitToHeight="0" orientation="landscape" r:id="rId1"/>
  <headerFooter differentFirst="1">
    <oddFooter>Page &amp;P of &amp;N</oddFooter>
  </headerFooter>
  <ignoredErrors>
    <ignoredError sqref="B2" emptyCellReference="1"/>
    <ignoredError sqref="C36:O37" calculatedColumn="1"/>
  </ignoredErrors>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sheetPr codeName="Sheet5">
    <tabColor theme="8"/>
    <pageSetUpPr autoPageBreaks="0" fitToPage="1"/>
  </sheetPr>
  <dimension ref="A1:P39"/>
  <sheetViews>
    <sheetView showGridLines="0" workbookViewId="0"/>
  </sheetViews>
  <sheetFormatPr defaultColWidth="9.140625" defaultRowHeight="18.75"/>
  <cols>
    <col min="1" max="1" width="4.7109375" style="50" customWidth="1"/>
    <col min="2" max="2" width="26.28515625" style="2" customWidth="1"/>
    <col min="3" max="3" width="23.28515625" style="2" customWidth="1"/>
    <col min="4" max="4" width="24.28515625" style="2" customWidth="1"/>
    <col min="5" max="5" width="23" style="2" customWidth="1"/>
    <col min="6" max="6" width="24.5703125" style="2" customWidth="1"/>
    <col min="7" max="7" width="4.7109375" style="1" customWidth="1"/>
    <col min="8" max="8" width="9" customWidth="1"/>
    <col min="9" max="16384" width="9.140625" style="2"/>
  </cols>
  <sheetData>
    <row r="1" spans="1:16" s="1" customFormat="1" ht="24" customHeight="1">
      <c r="A1" s="47" t="s">
        <v>79</v>
      </c>
      <c r="B1" s="11"/>
      <c r="C1" s="11"/>
      <c r="D1" s="11"/>
      <c r="E1" s="8"/>
      <c r="F1" s="8"/>
      <c r="G1" s="94" t="s">
        <v>47</v>
      </c>
      <c r="I1"/>
      <c r="J1"/>
      <c r="K1"/>
      <c r="L1"/>
      <c r="M1"/>
      <c r="N1"/>
      <c r="O1"/>
      <c r="P1" t="s">
        <v>47</v>
      </c>
    </row>
    <row r="2" spans="1:16" s="1" customFormat="1" ht="45" customHeight="1">
      <c r="A2" s="47" t="s">
        <v>104</v>
      </c>
      <c r="B2" s="127" t="str">
        <f>'PLANNED EXPENSES'!B2:D3</f>
        <v>Company Name</v>
      </c>
      <c r="C2" s="127"/>
      <c r="D2" s="127"/>
      <c r="E2" s="22"/>
      <c r="F2" s="133" t="s">
        <v>66</v>
      </c>
      <c r="G2" s="133"/>
      <c r="I2"/>
      <c r="J2"/>
      <c r="K2"/>
      <c r="L2"/>
      <c r="M2"/>
      <c r="N2"/>
      <c r="O2"/>
      <c r="P2"/>
    </row>
    <row r="3" spans="1:16" s="1" customFormat="1" ht="30" customHeight="1">
      <c r="A3" s="47" t="s">
        <v>103</v>
      </c>
      <c r="B3" s="127"/>
      <c r="C3" s="127"/>
      <c r="D3" s="127"/>
      <c r="E3" s="132" t="str">
        <f>worksheet_title</f>
        <v>Detailed Expense Estimates</v>
      </c>
      <c r="F3" s="132"/>
      <c r="G3" s="132"/>
      <c r="I3"/>
      <c r="J3"/>
      <c r="K3"/>
      <c r="L3"/>
      <c r="M3"/>
      <c r="N3"/>
      <c r="O3"/>
      <c r="P3"/>
    </row>
    <row r="4" spans="1:16" customFormat="1" ht="18.75" customHeight="1">
      <c r="A4" s="36"/>
    </row>
    <row r="5" spans="1:16" ht="24.95" customHeight="1" thickBot="1">
      <c r="A5" s="48" t="s">
        <v>81</v>
      </c>
      <c r="B5" s="23" t="s">
        <v>45</v>
      </c>
      <c r="C5" s="24" t="s">
        <v>1</v>
      </c>
      <c r="D5" s="25" t="s">
        <v>41</v>
      </c>
      <c r="E5" s="23" t="s">
        <v>44</v>
      </c>
      <c r="F5" s="26" t="s">
        <v>46</v>
      </c>
      <c r="G5" s="14"/>
      <c r="I5"/>
      <c r="J5"/>
      <c r="K5"/>
      <c r="L5"/>
      <c r="M5"/>
      <c r="N5"/>
      <c r="O5"/>
      <c r="P5"/>
    </row>
    <row r="6" spans="1:16" ht="24.95" customHeight="1" thickBot="1">
      <c r="A6" s="49"/>
      <c r="B6" s="117" t="s">
        <v>15</v>
      </c>
      <c r="C6" s="28">
        <f>EmployeePlan[[#Totals],[YEAR]]</f>
        <v>1355090</v>
      </c>
      <c r="D6" s="28">
        <f>EmployeeActual[[#Totals],[YEAR]]</f>
        <v>659130</v>
      </c>
      <c r="E6" s="28">
        <f>C6-D6</f>
        <v>695960</v>
      </c>
      <c r="F6" s="29">
        <f>E6/C6</f>
        <v>0.5135895032802249</v>
      </c>
    </row>
    <row r="7" spans="1:16" ht="24.95" customHeight="1" thickBot="1">
      <c r="A7" s="48"/>
      <c r="B7" s="117" t="str">
        <f>'PLANNED EXPENSES'!B10</f>
        <v>Office Costs</v>
      </c>
      <c r="C7" s="28">
        <f>OfficePlan[[#Totals],[YEAR]]</f>
        <v>138740</v>
      </c>
      <c r="D7" s="28">
        <f>OfficeActual[[#Totals],[YEAR]]</f>
        <v>69350</v>
      </c>
      <c r="E7" s="28">
        <f>C7-D7</f>
        <v>69390</v>
      </c>
      <c r="F7" s="29">
        <f>E7/C7</f>
        <v>0.50014415453366012</v>
      </c>
    </row>
    <row r="8" spans="1:16" ht="24.95" customHeight="1" thickBot="1">
      <c r="A8" s="48"/>
      <c r="B8" s="27" t="str">
        <f>'PLANNED EXPENSES'!B21</f>
        <v>Marketing Costs</v>
      </c>
      <c r="C8" s="28">
        <f>MarketingPlan[[#Totals],[YEAR]]</f>
        <v>67800</v>
      </c>
      <c r="D8" s="28">
        <f>MarketingActual[[#Totals],[YEAR]]</f>
        <v>33159</v>
      </c>
      <c r="E8" s="28">
        <f>C8-D8</f>
        <v>34641</v>
      </c>
      <c r="F8" s="29">
        <f>E8/C8</f>
        <v>0.51092920353982296</v>
      </c>
    </row>
    <row r="9" spans="1:16" ht="24.95" customHeight="1" thickBot="1">
      <c r="A9" s="48"/>
      <c r="B9" s="27" t="str">
        <f>'PLANNED EXPENSES'!B30</f>
        <v>Training/Travel</v>
      </c>
      <c r="C9" s="28">
        <f>TrainingAndTravelPlan[[#Totals],[YEAR]]</f>
        <v>48000</v>
      </c>
      <c r="D9" s="28">
        <f>TrainingAndTravelActual[[#Totals],[YEAR]]</f>
        <v>21300</v>
      </c>
      <c r="E9" s="28">
        <f>C9-D9</f>
        <v>26700</v>
      </c>
      <c r="F9" s="29">
        <f>E9/C9</f>
        <v>0.55625000000000002</v>
      </c>
    </row>
    <row r="10" spans="1:16" ht="24.95" customHeight="1">
      <c r="A10" s="48"/>
      <c r="B10" s="51" t="str">
        <f>'PLANNED EXPENSES'!B35</f>
        <v>TOTALS</v>
      </c>
      <c r="C10" s="52">
        <f>'PLANNED EXPENSES'!O36</f>
        <v>1609630</v>
      </c>
      <c r="D10" s="52">
        <f>'ACTUAL EXPENSES'!O36</f>
        <v>782939</v>
      </c>
      <c r="E10" s="52">
        <f>C10-D10</f>
        <v>826691</v>
      </c>
      <c r="F10" s="53">
        <f>E10/C10</f>
        <v>0.51359070096854553</v>
      </c>
    </row>
    <row r="11" spans="1:16">
      <c r="A11" s="48"/>
      <c r="B11" s="119"/>
      <c r="C11" s="6"/>
      <c r="D11" s="6"/>
      <c r="E11" s="6"/>
      <c r="F11" s="7"/>
    </row>
    <row r="12" spans="1:16" ht="300" customHeight="1">
      <c r="A12" s="48" t="s">
        <v>105</v>
      </c>
      <c r="B12" s="134" t="s">
        <v>80</v>
      </c>
      <c r="C12" s="134"/>
      <c r="D12" s="134"/>
      <c r="E12" s="134"/>
      <c r="F12" s="134"/>
      <c r="G12"/>
    </row>
    <row r="13" spans="1:16" ht="18.75" customHeight="1">
      <c r="A13" s="48"/>
      <c r="B13" s="120"/>
    </row>
    <row r="14" spans="1:16" ht="409.5">
      <c r="A14" s="48" t="s">
        <v>106</v>
      </c>
      <c r="B14" s="130"/>
      <c r="C14" s="126"/>
      <c r="D14" s="126"/>
      <c r="E14" s="126"/>
      <c r="F14" s="126"/>
    </row>
    <row r="15" spans="1:16">
      <c r="A15" s="48"/>
      <c r="B15" s="130"/>
      <c r="C15" s="126"/>
      <c r="D15" s="126"/>
      <c r="E15" s="126"/>
      <c r="F15" s="126"/>
    </row>
    <row r="16" spans="1:16">
      <c r="A16" s="48"/>
      <c r="B16" s="130"/>
      <c r="C16" s="126"/>
      <c r="D16" s="126"/>
      <c r="E16" s="126"/>
      <c r="F16" s="126"/>
    </row>
    <row r="17" spans="1:6">
      <c r="A17" s="48"/>
      <c r="B17" s="130"/>
      <c r="C17" s="126"/>
      <c r="D17" s="126"/>
      <c r="E17" s="126"/>
      <c r="F17" s="126"/>
    </row>
    <row r="18" spans="1:6">
      <c r="A18" s="48"/>
      <c r="B18" s="130"/>
      <c r="C18" s="126"/>
      <c r="D18" s="126"/>
      <c r="E18" s="126"/>
      <c r="F18" s="126"/>
    </row>
    <row r="19" spans="1:6">
      <c r="A19" s="48"/>
      <c r="B19" s="126"/>
      <c r="C19" s="126"/>
      <c r="D19" s="126"/>
      <c r="E19" s="126"/>
      <c r="F19" s="126"/>
    </row>
    <row r="20" spans="1:6">
      <c r="A20" s="48"/>
      <c r="B20" s="126"/>
      <c r="C20" s="126"/>
      <c r="D20" s="126"/>
      <c r="E20" s="126"/>
      <c r="F20" s="126"/>
    </row>
    <row r="21" spans="1:6">
      <c r="A21" s="48"/>
      <c r="B21" s="126"/>
      <c r="C21" s="126"/>
      <c r="D21" s="126"/>
      <c r="E21" s="126"/>
      <c r="F21" s="126"/>
    </row>
    <row r="22" spans="1:6">
      <c r="A22" s="48"/>
      <c r="B22" s="130"/>
      <c r="C22" s="126"/>
      <c r="D22" s="126"/>
      <c r="E22" s="126"/>
      <c r="F22" s="126"/>
    </row>
    <row r="23" spans="1:6">
      <c r="A23" s="48"/>
      <c r="B23" s="130"/>
      <c r="C23" s="126"/>
      <c r="D23" s="126"/>
      <c r="E23" s="126"/>
      <c r="F23" s="126"/>
    </row>
    <row r="24" spans="1:6">
      <c r="A24" s="48"/>
      <c r="B24" s="130"/>
      <c r="C24" s="126"/>
      <c r="D24" s="126"/>
      <c r="E24" s="126"/>
      <c r="F24" s="126"/>
    </row>
    <row r="25" spans="1:6">
      <c r="A25" s="48"/>
      <c r="B25" s="130"/>
      <c r="C25" s="126"/>
      <c r="D25" s="126"/>
      <c r="E25" s="126"/>
      <c r="F25" s="126"/>
    </row>
    <row r="26" spans="1:6">
      <c r="A26" s="48"/>
      <c r="B26" s="130"/>
      <c r="C26" s="126"/>
      <c r="D26" s="126"/>
      <c r="E26" s="126"/>
      <c r="F26" s="126"/>
    </row>
    <row r="27" spans="1:6">
      <c r="A27" s="48"/>
      <c r="B27" s="130"/>
      <c r="C27" s="126"/>
      <c r="D27" s="126"/>
      <c r="E27" s="126"/>
      <c r="F27" s="126"/>
    </row>
    <row r="28" spans="1:6">
      <c r="A28" s="48"/>
      <c r="B28" s="126"/>
      <c r="C28" s="126"/>
      <c r="D28" s="126"/>
      <c r="E28" s="126"/>
      <c r="F28" s="126"/>
    </row>
    <row r="29" spans="1:6">
      <c r="A29" s="48"/>
      <c r="B29" s="126"/>
      <c r="C29" s="126"/>
      <c r="D29" s="126"/>
      <c r="E29" s="126"/>
      <c r="F29" s="126"/>
    </row>
    <row r="30" spans="1:6">
      <c r="A30" s="48"/>
      <c r="B30" s="126"/>
      <c r="C30" s="126"/>
      <c r="D30" s="126"/>
      <c r="E30" s="126"/>
      <c r="F30" s="126"/>
    </row>
    <row r="31" spans="1:6">
      <c r="A31" s="48"/>
      <c r="B31" s="130"/>
      <c r="C31" s="126"/>
      <c r="D31" s="126"/>
      <c r="E31" s="126"/>
      <c r="F31" s="126"/>
    </row>
    <row r="32" spans="1:6">
      <c r="A32" s="48"/>
      <c r="B32" s="130"/>
      <c r="C32" s="126"/>
      <c r="D32" s="126"/>
      <c r="E32" s="126"/>
      <c r="F32" s="126"/>
    </row>
    <row r="33" spans="1:6">
      <c r="A33" s="48"/>
      <c r="B33" s="126"/>
      <c r="C33" s="126"/>
      <c r="D33" s="126"/>
      <c r="E33" s="126"/>
      <c r="F33" s="126"/>
    </row>
    <row r="34" spans="1:6">
      <c r="A34" s="48"/>
      <c r="B34" s="126"/>
      <c r="C34" s="126"/>
      <c r="D34" s="126"/>
      <c r="E34" s="126"/>
      <c r="F34" s="126"/>
    </row>
    <row r="35" spans="1:6">
      <c r="A35" s="48"/>
      <c r="B35" s="126"/>
      <c r="C35" s="126"/>
      <c r="D35" s="126"/>
      <c r="E35" s="126"/>
      <c r="F35" s="126"/>
    </row>
    <row r="36" spans="1:6">
      <c r="A36" s="48"/>
      <c r="B36" s="131"/>
      <c r="C36" s="126"/>
      <c r="D36" s="126"/>
      <c r="E36" s="126"/>
      <c r="F36" s="126"/>
    </row>
    <row r="37" spans="1:6">
      <c r="A37" s="48"/>
      <c r="B37" s="131"/>
      <c r="C37" s="126"/>
      <c r="D37" s="126"/>
      <c r="E37" s="126"/>
      <c r="F37" s="126"/>
    </row>
    <row r="38" spans="1:6">
      <c r="A38" s="48"/>
    </row>
    <row r="39" spans="1:6">
      <c r="A39" s="48"/>
    </row>
  </sheetData>
  <mergeCells count="5">
    <mergeCell ref="B14:F37"/>
    <mergeCell ref="B2:D3"/>
    <mergeCell ref="E3:G3"/>
    <mergeCell ref="F2:G2"/>
    <mergeCell ref="B12:F12"/>
  </mergeCells>
  <printOptions horizontalCentered="1"/>
  <pageMargins left="0.4" right="0.4" top="0.4" bottom="0.4" header="0.3" footer="0.3"/>
  <pageSetup scale="85" orientation="portrait" r:id="rId1"/>
  <ignoredErrors>
    <ignoredError sqref="B2"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8A7342-5213-4101-B852-19C31767E376}">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6E45EF76-3279-452A-98D4-4610898E5251}">
  <ds:schemaRefs>
    <ds:schemaRef ds:uri="http://schemas.microsoft.com/sharepoint/v3/contenttype/forms"/>
  </ds:schemaRefs>
</ds:datastoreItem>
</file>

<file path=customXml/itemProps3.xml><?xml version="1.0" encoding="utf-8"?>
<ds:datastoreItem xmlns:ds="http://schemas.openxmlformats.org/officeDocument/2006/customXml" ds:itemID="{6C9899EC-34DA-4971-9790-4F0B0FA63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START</vt:lpstr>
      <vt:lpstr>PLANNED EXPENSES</vt:lpstr>
      <vt:lpstr>ACTUAL EXPENSES</vt:lpstr>
      <vt:lpstr>EXPENSE VARIANCES</vt:lpstr>
      <vt:lpstr>EXPENSE ANALYSIS</vt:lpstr>
      <vt:lpstr>worksheet_title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Budget Template For Business</dc:title>
  <dc:creator/>
  <cp:keywords>Excel Budget Template For Business</cp:keywords>
  <cp:lastModifiedBy/>
  <dcterms:created xsi:type="dcterms:W3CDTF">2019-07-07T23:00:41Z</dcterms:created>
  <dcterms:modified xsi:type="dcterms:W3CDTF">2021-03-10T04:45:43Z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